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3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4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5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drawings/drawing6.xml" ContentType="application/vnd.openxmlformats-officedocument.drawing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7.xml" ContentType="application/vnd.openxmlformats-officedocument.drawing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drawings/drawing8.xml" ContentType="application/vnd.openxmlformats-officedocument.drawing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drawings/drawing9.xml" ContentType="application/vnd.openxmlformats-officedocument.drawing+xml"/>
  <Override PartName="/xl/comments2.xml" ContentType="application/vnd.openxmlformats-officedocument.spreadsheetml.comments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drawings/drawing10.xml" ContentType="application/vnd.openxmlformats-officedocument.drawing+xml"/>
  <Override PartName="/xl/comments3.xml" ContentType="application/vnd.openxmlformats-officedocument.spreadsheetml.comments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drawings/drawing11.xml" ContentType="application/vnd.openxmlformats-officedocument.drawing+xml"/>
  <Override PartName="/xl/charts/chart4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  <Override PartName="/xl/charts/colors2.xml" ContentType="application/vnd.ms-office.chartcolorstyle+xml"/>
  <Override PartName="/xl/charts/style2.xml" ContentType="application/vnd.ms-office.chartstyle+xml"/>
  <Override PartName="/xl/charts/colors3.xml" ContentType="application/vnd.ms-office.chartcolorstyle+xml"/>
  <Override PartName="/xl/charts/style3.xml" ContentType="application/vnd.ms-office.chartstyle+xml"/>
  <Override PartName="/xl/charts/colors4.xml" ContentType="application/vnd.ms-office.chartcolorstyle+xml"/>
  <Override PartName="/xl/charts/style4.xml" ContentType="application/vnd.ms-office.chartstyle+xml"/>
  <Override PartName="/xl/charts/colors5.xml" ContentType="application/vnd.ms-office.chartcolorstyle+xml"/>
  <Override PartName="/xl/charts/style5.xml" ContentType="application/vnd.ms-office.chartstyle+xml"/>
  <Override PartName="/xl/charts/colors6.xml" ContentType="application/vnd.ms-office.chartcolorstyle+xml"/>
  <Override PartName="/xl/charts/style6.xml" ContentType="application/vnd.ms-office.chartstyle+xml"/>
  <Override PartName="/xl/charts/colors7.xml" ContentType="application/vnd.ms-office.chartcolorstyle+xml"/>
  <Override PartName="/xl/charts/style7.xml" ContentType="application/vnd.ms-office.chartstyle+xml"/>
  <Override PartName="/xl/charts/colors8.xml" ContentType="application/vnd.ms-office.chartcolorstyle+xml"/>
  <Override PartName="/xl/charts/style8.xml" ContentType="application/vnd.ms-office.chartstyle+xml"/>
  <Override PartName="/xl/charts/colors9.xml" ContentType="application/vnd.ms-office.chartcolorstyle+xml"/>
  <Override PartName="/xl/charts/style9.xml" ContentType="application/vnd.ms-office.chartstyle+xml"/>
  <Override PartName="/xl/charts/colors10.xml" ContentType="application/vnd.ms-office.chartcolorstyle+xml"/>
  <Override PartName="/xl/charts/style10.xml" ContentType="application/vnd.ms-office.chartstyle+xml"/>
  <Override PartName="/xl/charts/colors11.xml" ContentType="application/vnd.ms-office.chartcolorstyle+xml"/>
  <Override PartName="/xl/charts/style11.xml" ContentType="application/vnd.ms-office.chartstyle+xml"/>
  <Override PartName="/xl/charts/colors12.xml" ContentType="application/vnd.ms-office.chartcolorstyle+xml"/>
  <Override PartName="/xl/charts/style12.xml" ContentType="application/vnd.ms-office.chartstyle+xml"/>
  <Override PartName="/xl/charts/colors13.xml" ContentType="application/vnd.ms-office.chartcolorstyle+xml"/>
  <Override PartName="/xl/charts/style13.xml" ContentType="application/vnd.ms-office.chartstyle+xml"/>
  <Override PartName="/xl/charts/colors14.xml" ContentType="application/vnd.ms-office.chartcolorstyle+xml"/>
  <Override PartName="/xl/charts/style14.xml" ContentType="application/vnd.ms-office.chartstyle+xml"/>
  <Override PartName="/xl/charts/colors15.xml" ContentType="application/vnd.ms-office.chartcolorstyle+xml"/>
  <Override PartName="/xl/charts/style15.xml" ContentType="application/vnd.ms-office.chartstyle+xml"/>
  <Override PartName="/xl/charts/colors16.xml" ContentType="application/vnd.ms-office.chartcolorstyle+xml"/>
  <Override PartName="/xl/charts/style16.xml" ContentType="application/vnd.ms-office.chartstyle+xml"/>
  <Override PartName="/xl/charts/colors17.xml" ContentType="application/vnd.ms-office.chartcolorstyle+xml"/>
  <Override PartName="/xl/charts/style17.xml" ContentType="application/vnd.ms-office.chartstyle+xml"/>
  <Override PartName="/xl/charts/colors18.xml" ContentType="application/vnd.ms-office.chartcolorstyle+xml"/>
  <Override PartName="/xl/charts/style18.xml" ContentType="application/vnd.ms-office.chartstyle+xml"/>
  <Override PartName="/xl/charts/colors19.xml" ContentType="application/vnd.ms-office.chartcolorstyle+xml"/>
  <Override PartName="/xl/charts/style19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105" windowWidth="23250" windowHeight="13170" firstSheet="9" activeTab="4"/>
  </bookViews>
  <sheets>
    <sheet name="Tipología Clientes" sheetId="1" r:id="rId1"/>
    <sheet name="Peajes Actuales" sheetId="2" r:id="rId2"/>
    <sheet name="Peajes Circular CNMC" sheetId="3" r:id="rId3"/>
    <sheet name="Grupo 2" sheetId="4" r:id="rId4"/>
    <sheet name="Grupo 2 Promedio" sheetId="9" r:id="rId5"/>
    <sheet name="Peaje 3.5" sheetId="5" r:id="rId6"/>
    <sheet name="Peaje 3.5 Nocturno" sheetId="11" r:id="rId7"/>
    <sheet name="Grupo 3" sheetId="6" r:id="rId8"/>
    <sheet name="Grupo 3 Promedio" sheetId="10" r:id="rId9"/>
    <sheet name="Grupo 3 GNL" sheetId="7" r:id="rId10"/>
    <sheet name="Grupo 3 GNL Promedio" sheetId="12" r:id="rId11"/>
    <sheet name="PS GNL Monocliente" sheetId="8" r:id="rId12"/>
    <sheet name="PS GNL Monocliente G2 Medios" sheetId="14" r:id="rId13"/>
    <sheet name="Discontinuidades" sheetId="13" r:id="rId14"/>
  </sheets>
  <definedNames>
    <definedName name="_xlnm.Print_Area" localSheetId="7">'Grupo 3'!$A$1:$BB$79</definedName>
    <definedName name="_xlnm.Print_Area" localSheetId="1">'Peajes Actuales'!$A$1:$Q$36</definedName>
    <definedName name="_xlnm.Print_Area" localSheetId="2">'Peajes Circular CNMC'!$A$1:$R$42</definedName>
    <definedName name="Print_Area" localSheetId="7">'Grupo 3'!$A$1:$BB$79</definedName>
    <definedName name="Print_Area" localSheetId="9">'Grupo 3 GNL'!$A$1:$AP$77</definedName>
    <definedName name="Print_Area" localSheetId="10">'Grupo 3 GNL Promedio'!$A$1:$AP$56</definedName>
    <definedName name="Print_Area" localSheetId="8">'Grupo 3 Promedio'!$A$1:$BB$58</definedName>
    <definedName name="Print_Area" localSheetId="6">'Peaje 3.5 Nocturno'!$A$1:$BB$67</definedName>
    <definedName name="Print_Area" localSheetId="1">'Peajes Actuales'!$A$1:$Q$36</definedName>
    <definedName name="Print_Area" localSheetId="2">'Peajes Circular CNMC'!$A$1:$Q$43</definedName>
    <definedName name="Print_Area" localSheetId="11">'PS GNL Monocliente'!$A$1:$AU$68</definedName>
    <definedName name="Print_Area" localSheetId="12">'PS GNL Monocliente G2 Medios'!$A$1:$AV$58</definedName>
    <definedName name="Z_96C67CFB_CE46_46EB_8800_9D77F2045444_.wvu.Cols" localSheetId="13" hidden="1">Discontinuidades!#REF!,Discontinuidades!#REF!,Discontinuidades!$D:$G,Discontinuidades!#REF!,Discontinuidades!#REF!,Discontinuidades!#REF!,Discontinuidades!$K:$N,Discontinuidades!#REF!</definedName>
    <definedName name="Z_96C67CFB_CE46_46EB_8800_9D77F2045444_.wvu.Cols" localSheetId="7" hidden="1">'Grupo 3'!$F:$I,'Grupo 3'!$K:$K,'Grupo 3'!$M:$P,'Grupo 3'!$V:$Y,'Grupo 3'!$AC:$AF,'Grupo 3'!$AH:$AK,'Grupo 3'!$AM:$AR,'Grupo 3'!$AW:$AY</definedName>
    <definedName name="Z_96C67CFB_CE46_46EB_8800_9D77F2045444_.wvu.Cols" localSheetId="9" hidden="1">'Grupo 3 GNL'!$F:$I,'Grupo 3 GNL'!#REF!,'Grupo 3 GNL'!$K:$O,'Grupo 3 GNL'!$U:$X,'Grupo 3 GNL'!#REF!,'Grupo 3 GNL'!$AB:$AG,'Grupo 3 GNL'!$AL:$AM</definedName>
    <definedName name="Z_96C67CFB_CE46_46EB_8800_9D77F2045444_.wvu.Cols" localSheetId="10" hidden="1">'Grupo 3 GNL Promedio'!$F:$I,'Grupo 3 GNL Promedio'!#REF!,'Grupo 3 GNL Promedio'!$K:$O,'Grupo 3 GNL Promedio'!$U:$X,'Grupo 3 GNL Promedio'!#REF!,'Grupo 3 GNL Promedio'!$AB:$AG,'Grupo 3 GNL Promedio'!$AL:$AM</definedName>
    <definedName name="Z_96C67CFB_CE46_46EB_8800_9D77F2045444_.wvu.Cols" localSheetId="8" hidden="1">'Grupo 3 Promedio'!$F:$I,'Grupo 3 Promedio'!$K:$K,'Grupo 3 Promedio'!$M:$P,'Grupo 3 Promedio'!$V:$Y,'Grupo 3 Promedio'!$AC:$AF,'Grupo 3 Promedio'!$AH:$AK,'Grupo 3 Promedio'!$AM:$AR,'Grupo 3 Promedio'!$AW:$AY</definedName>
    <definedName name="Z_96C67CFB_CE46_46EB_8800_9D77F2045444_.wvu.Cols" localSheetId="5" hidden="1">'Peaje 3.5'!$F:$I,'Peaje 3.5'!$K:$K,'Peaje 3.5'!$M:$P,'Peaje 3.5'!$V:$Y,'Peaje 3.5'!$AC:$AF,'Peaje 3.5'!$AH:$AK,'Peaje 3.5'!$AM:$AR,'Peaje 3.5'!$AW:$AY</definedName>
    <definedName name="Z_96C67CFB_CE46_46EB_8800_9D77F2045444_.wvu.Cols" localSheetId="6" hidden="1">'Peaje 3.5 Nocturno'!$F:$I,'Peaje 3.5 Nocturno'!$K:$K,'Peaje 3.5 Nocturno'!$M:$P,'Peaje 3.5 Nocturno'!$V:$Y,'Peaje 3.5 Nocturno'!$AC:$AF,'Peaje 3.5 Nocturno'!$AH:$AK,'Peaje 3.5 Nocturno'!$AM:$AR,'Peaje 3.5 Nocturno'!$AW:$AY</definedName>
    <definedName name="Z_96C67CFB_CE46_46EB_8800_9D77F2045444_.wvu.Cols" localSheetId="11" hidden="1">'PS GNL Monocliente'!$F:$I,'PS GNL Monocliente'!$M:$P,'PS GNL Monocliente'!$R:$U,'PS GNL Monocliente'!$W:$AB,'PS GNL Monocliente'!$AG:$AJ,'PS GNL Monocliente'!$AN:$AN</definedName>
    <definedName name="Z_96C67CFB_CE46_46EB_8800_9D77F2045444_.wvu.Cols" localSheetId="12" hidden="1">'PS GNL Monocliente G2 Medios'!$G:$J,'PS GNL Monocliente G2 Medios'!$N:$Q,'PS GNL Monocliente G2 Medios'!$S:$V,'PS GNL Monocliente G2 Medios'!$X:$AC,'PS GNL Monocliente G2 Medios'!$AH:$AK,'PS GNL Monocliente G2 Medios'!$AO:$AO</definedName>
    <definedName name="Z_96C67CFB_CE46_46EB_8800_9D77F2045444_.wvu.PrintArea" localSheetId="2" hidden="1">'Peajes Circular CNMC'!$A$1:$R$38</definedName>
    <definedName name="Z_DE30ACA8_1284_4798_8E7A_589852EF3C29_.wvu.Cols" localSheetId="13" hidden="1">Discontinuidades!#REF!,Discontinuidades!#REF!,Discontinuidades!$D:$G,Discontinuidades!#REF!,Discontinuidades!#REF!,Discontinuidades!#REF!,Discontinuidades!$K:$N,Discontinuidades!#REF!</definedName>
    <definedName name="Z_DE30ACA8_1284_4798_8E7A_589852EF3C29_.wvu.Cols" localSheetId="3" hidden="1">'Grupo 2'!$F:$I,'Grupo 2'!$K:$K,'Grupo 2'!$M:$P,'Grupo 2'!$V:$Y,'Grupo 2'!$AC:$AF,'Grupo 2'!$AH:$AK,'Grupo 2'!$AM:$AR,'Grupo 2'!$AW:$AY</definedName>
    <definedName name="Z_DE30ACA8_1284_4798_8E7A_589852EF3C29_.wvu.Cols" localSheetId="4" hidden="1">'Grupo 2 Promedio'!$F:$I,'Grupo 2 Promedio'!$K:$K,'Grupo 2 Promedio'!$M:$P,'Grupo 2 Promedio'!$V:$Y,'Grupo 2 Promedio'!$AC:$AF,'Grupo 2 Promedio'!$AH:$AK,'Grupo 2 Promedio'!$AM:$AR,'Grupo 2 Promedio'!$AW:$AY</definedName>
    <definedName name="Z_DE30ACA8_1284_4798_8E7A_589852EF3C29_.wvu.Cols" localSheetId="7" hidden="1">'Grupo 3'!$F:$I,'Grupo 3'!$K:$K,'Grupo 3'!$M:$P,'Grupo 3'!$V:$Y,'Grupo 3'!$AC:$AF,'Grupo 3'!$AH:$AK,'Grupo 3'!$AM:$AR,'Grupo 3'!$AW:$AY</definedName>
    <definedName name="Z_DE30ACA8_1284_4798_8E7A_589852EF3C29_.wvu.Cols" localSheetId="9" hidden="1">'Grupo 3 GNL'!$F:$I,'Grupo 3 GNL'!#REF!,'Grupo 3 GNL'!$K:$O,'Grupo 3 GNL'!$U:$X,'Grupo 3 GNL'!#REF!,'Grupo 3 GNL'!$AB:$AG,'Grupo 3 GNL'!$AL:$AM</definedName>
    <definedName name="Z_DE30ACA8_1284_4798_8E7A_589852EF3C29_.wvu.Cols" localSheetId="10" hidden="1">'Grupo 3 GNL Promedio'!$F:$I,'Grupo 3 GNL Promedio'!#REF!,'Grupo 3 GNL Promedio'!$K:$O,'Grupo 3 GNL Promedio'!$U:$X,'Grupo 3 GNL Promedio'!#REF!,'Grupo 3 GNL Promedio'!$AB:$AG,'Grupo 3 GNL Promedio'!$AL:$AM</definedName>
    <definedName name="Z_DE30ACA8_1284_4798_8E7A_589852EF3C29_.wvu.Cols" localSheetId="8" hidden="1">'Grupo 3 Promedio'!$F:$I,'Grupo 3 Promedio'!$K:$K,'Grupo 3 Promedio'!$M:$P,'Grupo 3 Promedio'!$V:$Y,'Grupo 3 Promedio'!$AC:$AF,'Grupo 3 Promedio'!$AH:$AK,'Grupo 3 Promedio'!$AM:$AR,'Grupo 3 Promedio'!$AW:$AY</definedName>
    <definedName name="Z_DE30ACA8_1284_4798_8E7A_589852EF3C29_.wvu.Cols" localSheetId="5" hidden="1">'Peaje 3.5'!$F:$I,'Peaje 3.5'!$K:$K,'Peaje 3.5'!$M:$P,'Peaje 3.5'!$V:$Y,'Peaje 3.5'!$AC:$AF,'Peaje 3.5'!$AH:$AK,'Peaje 3.5'!$AM:$AR,'Peaje 3.5'!$AW:$AY</definedName>
    <definedName name="Z_DE30ACA8_1284_4798_8E7A_589852EF3C29_.wvu.Cols" localSheetId="6" hidden="1">'Peaje 3.5 Nocturno'!$F:$I,'Peaje 3.5 Nocturno'!$K:$K,'Peaje 3.5 Nocturno'!$M:$P,'Peaje 3.5 Nocturno'!$V:$Y,'Peaje 3.5 Nocturno'!$AC:$AF,'Peaje 3.5 Nocturno'!$AH:$AK,'Peaje 3.5 Nocturno'!$AM:$AR,'Peaje 3.5 Nocturno'!$AW:$AY</definedName>
    <definedName name="Z_DE30ACA8_1284_4798_8E7A_589852EF3C29_.wvu.Cols" localSheetId="11" hidden="1">'PS GNL Monocliente'!$F:$I,'PS GNL Monocliente'!$M:$P,'PS GNL Monocliente'!$R:$U,'PS GNL Monocliente'!$W:$AB,'PS GNL Monocliente'!$AG:$AJ,'PS GNL Monocliente'!$AN:$AN</definedName>
    <definedName name="Z_DE30ACA8_1284_4798_8E7A_589852EF3C29_.wvu.Cols" localSheetId="12" hidden="1">'PS GNL Monocliente G2 Medios'!$G:$J,'PS GNL Monocliente G2 Medios'!$N:$Q,'PS GNL Monocliente G2 Medios'!$S:$V,'PS GNL Monocliente G2 Medios'!$X:$AC,'PS GNL Monocliente G2 Medios'!$AH:$AK,'PS GNL Monocliente G2 Medios'!$AO:$AO</definedName>
    <definedName name="Z_DE30ACA8_1284_4798_8E7A_589852EF3C29_.wvu.PrintArea" localSheetId="2" hidden="1">'Peajes Circular CNMC'!$A$1:$R$38</definedName>
  </definedNames>
  <calcPr calcId="145621"/>
  <customWorkbookViews>
    <customWorkbookView name="David Aguilera Cupido - Vista personalizada" guid="{96C67CFB-CE46-46EB-8800-9D77F2045444}" mergeInterval="0" personalView="1" maximized="1" windowWidth="1596" windowHeight="711" activeSheetId="4"/>
    <customWorkbookView name="ADMIN - Vista personalizada" guid="{DE30ACA8-1284-4798-8E7A-589852EF3C29}" mergeInterval="0" personalView="1" maximized="1" xWindow="-9" yWindow="-9" windowWidth="1938" windowHeight="1098" activeSheetId="2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36" i="4" l="1"/>
  <c r="H36" i="2"/>
  <c r="H38" i="4"/>
  <c r="AL11" i="8" l="1"/>
  <c r="AM11" i="8" s="1"/>
  <c r="AL12" i="8"/>
  <c r="AM12" i="8" s="1"/>
  <c r="AL13" i="8"/>
  <c r="AM13" i="8" s="1"/>
  <c r="AL14" i="8"/>
  <c r="AM14" i="8" s="1"/>
  <c r="AL15" i="8"/>
  <c r="AM15" i="8" s="1"/>
  <c r="AL16" i="8"/>
  <c r="AM16" i="8" s="1"/>
  <c r="AL17" i="8"/>
  <c r="AM17" i="8" s="1"/>
  <c r="AL18" i="8"/>
  <c r="AM18" i="8" s="1"/>
  <c r="AL19" i="8"/>
  <c r="AM19" i="8" s="1"/>
  <c r="AL20" i="8"/>
  <c r="AM20" i="8" s="1"/>
  <c r="AL21" i="8"/>
  <c r="AM21" i="8" s="1"/>
  <c r="AL22" i="8"/>
  <c r="AM22" i="8" s="1"/>
  <c r="AL23" i="8"/>
  <c r="AM23" i="8" s="1"/>
  <c r="AL24" i="8"/>
  <c r="AM24" i="8" s="1"/>
  <c r="AL25" i="8"/>
  <c r="AM25" i="8" s="1"/>
  <c r="K11" i="8"/>
  <c r="L11" i="8" s="1"/>
  <c r="N11" i="8"/>
  <c r="P11" i="8" s="1"/>
  <c r="S11" i="8"/>
  <c r="U11" i="8" s="1"/>
  <c r="K12" i="8"/>
  <c r="L12" i="8"/>
  <c r="N12" i="8"/>
  <c r="P12" i="8"/>
  <c r="S12" i="8"/>
  <c r="U12" i="8" s="1"/>
  <c r="K13" i="8"/>
  <c r="L13" i="8"/>
  <c r="N13" i="8"/>
  <c r="P13" i="8"/>
  <c r="S13" i="8"/>
  <c r="U13" i="8"/>
  <c r="K14" i="8"/>
  <c r="L14" i="8"/>
  <c r="N14" i="8"/>
  <c r="P14" i="8" s="1"/>
  <c r="S14" i="8"/>
  <c r="U14" i="8" s="1"/>
  <c r="K15" i="8"/>
  <c r="L15" i="8"/>
  <c r="N15" i="8"/>
  <c r="P15" i="8" s="1"/>
  <c r="S15" i="8"/>
  <c r="U15" i="8" s="1"/>
  <c r="K16" i="8"/>
  <c r="L16" i="8"/>
  <c r="N16" i="8"/>
  <c r="P16" i="8" s="1"/>
  <c r="S16" i="8"/>
  <c r="U16" i="8" s="1"/>
  <c r="K17" i="8"/>
  <c r="L17" i="8"/>
  <c r="N17" i="8"/>
  <c r="P17" i="8" s="1"/>
  <c r="S17" i="8"/>
  <c r="U17" i="8" s="1"/>
  <c r="K18" i="8"/>
  <c r="L18" i="8"/>
  <c r="N18" i="8"/>
  <c r="P18" i="8" s="1"/>
  <c r="S18" i="8"/>
  <c r="U18" i="8" s="1"/>
  <c r="K19" i="8"/>
  <c r="L19" i="8"/>
  <c r="N19" i="8"/>
  <c r="P19" i="8" s="1"/>
  <c r="S19" i="8"/>
  <c r="U19" i="8" s="1"/>
  <c r="K20" i="8"/>
  <c r="L20" i="8"/>
  <c r="N20" i="8"/>
  <c r="P20" i="8" s="1"/>
  <c r="S20" i="8"/>
  <c r="U20" i="8" s="1"/>
  <c r="K21" i="8"/>
  <c r="L21" i="8" s="1"/>
  <c r="N21" i="8"/>
  <c r="P21" i="8" s="1"/>
  <c r="S21" i="8"/>
  <c r="U21" i="8" s="1"/>
  <c r="K22" i="8"/>
  <c r="L22" i="8" s="1"/>
  <c r="N22" i="8"/>
  <c r="P22" i="8"/>
  <c r="S22" i="8"/>
  <c r="U22" i="8" s="1"/>
  <c r="K23" i="8"/>
  <c r="L23" i="8"/>
  <c r="N23" i="8"/>
  <c r="P23" i="8"/>
  <c r="S23" i="8"/>
  <c r="U23" i="8"/>
  <c r="K24" i="8"/>
  <c r="L24" i="8"/>
  <c r="N24" i="8"/>
  <c r="P24" i="8"/>
  <c r="S24" i="8"/>
  <c r="U24" i="8"/>
  <c r="K25" i="8"/>
  <c r="L25" i="8" s="1"/>
  <c r="N25" i="8"/>
  <c r="P25" i="8" s="1"/>
  <c r="S25" i="8"/>
  <c r="U25" i="8" s="1"/>
  <c r="C24" i="8"/>
  <c r="D24" i="8" s="1"/>
  <c r="C25" i="8"/>
  <c r="D25" i="8" s="1"/>
  <c r="D31" i="7"/>
  <c r="D32" i="7"/>
  <c r="D33" i="7"/>
  <c r="D34" i="7"/>
  <c r="D35" i="7"/>
  <c r="K24" i="6"/>
  <c r="K25" i="6"/>
  <c r="K26" i="6"/>
  <c r="K27" i="6"/>
  <c r="K28" i="6"/>
  <c r="K29" i="6"/>
  <c r="D30" i="6"/>
  <c r="L30" i="6" s="1"/>
  <c r="K30" i="6"/>
  <c r="D31" i="6"/>
  <c r="K31" i="6"/>
  <c r="L31" i="6" s="1"/>
  <c r="D32" i="6"/>
  <c r="K32" i="6"/>
  <c r="L32" i="6" s="1"/>
  <c r="D33" i="6"/>
  <c r="K33" i="6"/>
  <c r="L33" i="6"/>
  <c r="D34" i="6"/>
  <c r="K34" i="6"/>
  <c r="L34" i="6"/>
  <c r="AA19" i="4"/>
  <c r="AB19" i="4" s="1"/>
  <c r="AD19" i="4"/>
  <c r="AF19" i="4" s="1"/>
  <c r="AI19" i="4"/>
  <c r="AK19" i="4" s="1"/>
  <c r="AA20" i="4"/>
  <c r="AB20" i="4" s="1"/>
  <c r="AD20" i="4"/>
  <c r="AF20" i="4"/>
  <c r="AI20" i="4"/>
  <c r="AK20" i="4" s="1"/>
  <c r="AA21" i="4"/>
  <c r="AB21" i="4" s="1"/>
  <c r="AD21" i="4"/>
  <c r="AF21" i="4"/>
  <c r="AI21" i="4"/>
  <c r="AK21" i="4" s="1"/>
  <c r="AA22" i="4"/>
  <c r="AB22" i="4" s="1"/>
  <c r="AD22" i="4"/>
  <c r="AF22" i="4" s="1"/>
  <c r="AI22" i="4"/>
  <c r="AK22" i="4" s="1"/>
  <c r="AA23" i="4"/>
  <c r="AB23" i="4" s="1"/>
  <c r="AD23" i="4"/>
  <c r="AF23" i="4" s="1"/>
  <c r="AI23" i="4"/>
  <c r="AK23" i="4" s="1"/>
  <c r="AA24" i="4"/>
  <c r="AB24" i="4" s="1"/>
  <c r="AD24" i="4"/>
  <c r="AF24" i="4" s="1"/>
  <c r="AI24" i="4"/>
  <c r="AK24" i="4"/>
  <c r="AA25" i="4"/>
  <c r="AB25" i="4" s="1"/>
  <c r="AD25" i="4"/>
  <c r="AF25" i="4" s="1"/>
  <c r="AI25" i="4"/>
  <c r="AK25" i="4" s="1"/>
  <c r="AA26" i="4"/>
  <c r="AB26" i="4" s="1"/>
  <c r="AD26" i="4"/>
  <c r="AF26" i="4" s="1"/>
  <c r="AI26" i="4"/>
  <c r="AK26" i="4" s="1"/>
  <c r="AA27" i="4"/>
  <c r="AB27" i="4" s="1"/>
  <c r="AD27" i="4"/>
  <c r="AF27" i="4" s="1"/>
  <c r="AI27" i="4"/>
  <c r="AK27" i="4"/>
  <c r="AA28" i="4"/>
  <c r="AB28" i="4"/>
  <c r="AD28" i="4"/>
  <c r="AF28" i="4" s="1"/>
  <c r="AI28" i="4"/>
  <c r="AK28" i="4"/>
  <c r="AA29" i="4"/>
  <c r="AB29" i="4" s="1"/>
  <c r="AD29" i="4"/>
  <c r="AF29" i="4" s="1"/>
  <c r="AI29" i="4"/>
  <c r="AK29" i="4" s="1"/>
  <c r="AA30" i="4"/>
  <c r="AB30" i="4" s="1"/>
  <c r="AD30" i="4"/>
  <c r="AF30" i="4"/>
  <c r="AI30" i="4"/>
  <c r="AK30" i="4" s="1"/>
  <c r="AA31" i="4"/>
  <c r="AB31" i="4" s="1"/>
  <c r="AD31" i="4"/>
  <c r="AF31" i="4" s="1"/>
  <c r="AI31" i="4"/>
  <c r="AK31" i="4" s="1"/>
  <c r="AA32" i="4"/>
  <c r="AB32" i="4"/>
  <c r="AD32" i="4"/>
  <c r="AF32" i="4" s="1"/>
  <c r="AI32" i="4"/>
  <c r="AK32" i="4" s="1"/>
  <c r="AA33" i="4"/>
  <c r="AB33" i="4"/>
  <c r="AD33" i="4"/>
  <c r="AF33" i="4" s="1"/>
  <c r="AI33" i="4"/>
  <c r="AK33" i="4" s="1"/>
  <c r="AA34" i="4"/>
  <c r="AB34" i="4" s="1"/>
  <c r="AD34" i="4"/>
  <c r="AF34" i="4" s="1"/>
  <c r="AI34" i="4"/>
  <c r="AK34" i="4" s="1"/>
  <c r="AA35" i="4"/>
  <c r="AB35" i="4" s="1"/>
  <c r="AD35" i="4"/>
  <c r="AF35" i="4" s="1"/>
  <c r="AI35" i="4"/>
  <c r="AK35" i="4"/>
  <c r="AA36" i="4"/>
  <c r="AB36" i="4" s="1"/>
  <c r="AD36" i="4"/>
  <c r="AF36" i="4" s="1"/>
  <c r="AI36" i="4"/>
  <c r="AK36" i="4" s="1"/>
  <c r="AA37" i="4"/>
  <c r="AB37" i="4"/>
  <c r="AD37" i="4"/>
  <c r="AF37" i="4" s="1"/>
  <c r="AI37" i="4"/>
  <c r="AK37" i="4" s="1"/>
  <c r="AA38" i="4"/>
  <c r="AB38" i="4" s="1"/>
  <c r="AD38" i="4"/>
  <c r="AF38" i="4" s="1"/>
  <c r="AI38" i="4"/>
  <c r="AK38" i="4"/>
  <c r="AA39" i="4"/>
  <c r="AB39" i="4"/>
  <c r="AD39" i="4"/>
  <c r="AF39" i="4" s="1"/>
  <c r="AI39" i="4"/>
  <c r="AK39" i="4" s="1"/>
  <c r="K22" i="4"/>
  <c r="K23" i="4"/>
  <c r="K24" i="4"/>
  <c r="K25" i="4"/>
  <c r="K26" i="4"/>
  <c r="K27" i="4"/>
  <c r="K28" i="4"/>
  <c r="K29" i="4"/>
  <c r="K30" i="4"/>
  <c r="K31" i="4"/>
  <c r="K32" i="4"/>
  <c r="K33" i="4"/>
  <c r="K34" i="4"/>
  <c r="K35" i="4"/>
  <c r="K36" i="4"/>
  <c r="K37" i="4"/>
  <c r="K38" i="4"/>
  <c r="K39" i="4"/>
  <c r="N25" i="10" l="1"/>
  <c r="N25" i="12"/>
  <c r="N25" i="14"/>
  <c r="N25" i="1"/>
  <c r="N29" i="11"/>
  <c r="N29" i="10"/>
  <c r="N29" i="12"/>
  <c r="N29" i="14"/>
  <c r="N29" i="1"/>
  <c r="M40" i="1" l="1"/>
  <c r="N40" i="1"/>
  <c r="N39" i="1"/>
  <c r="M39" i="1"/>
  <c r="N38" i="1"/>
  <c r="N37" i="1"/>
  <c r="N36" i="1"/>
  <c r="M38" i="1"/>
  <c r="M37" i="1"/>
  <c r="M36" i="1"/>
  <c r="I41" i="1"/>
  <c r="L39" i="1" s="1"/>
  <c r="H41" i="1"/>
  <c r="K39" i="1" s="1"/>
  <c r="L40" i="1"/>
  <c r="J40" i="1"/>
  <c r="J39" i="1"/>
  <c r="J38" i="1"/>
  <c r="C38" i="1"/>
  <c r="L37" i="1"/>
  <c r="J37" i="1"/>
  <c r="C37" i="1"/>
  <c r="J36" i="1"/>
  <c r="C36" i="1"/>
  <c r="K37" i="1" l="1"/>
  <c r="K40" i="1"/>
  <c r="K38" i="1"/>
  <c r="K36" i="1"/>
  <c r="L36" i="1"/>
  <c r="L38" i="1"/>
  <c r="AM15" i="14"/>
  <c r="AN15" i="14" s="1"/>
  <c r="T15" i="14"/>
  <c r="V15" i="14" s="1"/>
  <c r="O15" i="14"/>
  <c r="Q15" i="14" s="1"/>
  <c r="L15" i="14"/>
  <c r="M15" i="14" s="1"/>
  <c r="C15" i="14"/>
  <c r="D15" i="14" s="1"/>
  <c r="AM14" i="14"/>
  <c r="AN14" i="14" s="1"/>
  <c r="T14" i="14"/>
  <c r="V14" i="14" s="1"/>
  <c r="O14" i="14"/>
  <c r="Q14" i="14" s="1"/>
  <c r="L14" i="14"/>
  <c r="M14" i="14" s="1"/>
  <c r="C14" i="14"/>
  <c r="D14" i="14" s="1"/>
  <c r="AM13" i="14"/>
  <c r="AN13" i="14" s="1"/>
  <c r="T13" i="14"/>
  <c r="V13" i="14" s="1"/>
  <c r="O13" i="14"/>
  <c r="Q13" i="14" s="1"/>
  <c r="L13" i="14"/>
  <c r="M13" i="14" s="1"/>
  <c r="C13" i="14"/>
  <c r="D13" i="14" s="1"/>
  <c r="AM12" i="14"/>
  <c r="AN12" i="14" s="1"/>
  <c r="T12" i="14"/>
  <c r="V12" i="14" s="1"/>
  <c r="O12" i="14"/>
  <c r="Q12" i="14" s="1"/>
  <c r="L12" i="14"/>
  <c r="M12" i="14" s="1"/>
  <c r="C12" i="14"/>
  <c r="D12" i="14" s="1"/>
  <c r="AM11" i="14"/>
  <c r="AN11" i="14" s="1"/>
  <c r="T11" i="14"/>
  <c r="V11" i="14" s="1"/>
  <c r="O11" i="14"/>
  <c r="Q11" i="14" s="1"/>
  <c r="L11" i="14"/>
  <c r="M11" i="14" s="1"/>
  <c r="C11" i="14"/>
  <c r="D11" i="14" s="1"/>
  <c r="AM10" i="14"/>
  <c r="AN10" i="14" s="1"/>
  <c r="T10" i="14"/>
  <c r="V10" i="14" s="1"/>
  <c r="O10" i="14"/>
  <c r="Q10" i="14" s="1"/>
  <c r="L10" i="14"/>
  <c r="M10" i="14" s="1"/>
  <c r="C10" i="14"/>
  <c r="D10" i="14" s="1"/>
  <c r="AL10" i="8" l="1"/>
  <c r="AM10" i="8" s="1"/>
  <c r="K10" i="8"/>
  <c r="L10" i="8" s="1"/>
  <c r="Z11" i="12"/>
  <c r="AA11" i="12" s="1"/>
  <c r="Z12" i="12"/>
  <c r="AA12" i="12" s="1"/>
  <c r="Z13" i="12"/>
  <c r="AA13" i="12" s="1"/>
  <c r="Z10" i="12"/>
  <c r="AA10" i="12" s="1"/>
  <c r="Z11" i="7"/>
  <c r="AA11" i="7" s="1"/>
  <c r="Z12" i="7"/>
  <c r="AA12" i="7" s="1"/>
  <c r="Z13" i="7"/>
  <c r="AA13" i="7" s="1"/>
  <c r="Z14" i="7"/>
  <c r="AA14" i="7" s="1"/>
  <c r="Z15" i="7"/>
  <c r="AA15" i="7" s="1"/>
  <c r="Z16" i="7"/>
  <c r="AA16" i="7" s="1"/>
  <c r="Z17" i="7"/>
  <c r="AA17" i="7" s="1"/>
  <c r="Z18" i="7"/>
  <c r="AA18" i="7" s="1"/>
  <c r="Z19" i="7"/>
  <c r="AA19" i="7" s="1"/>
  <c r="Z20" i="7"/>
  <c r="AA20" i="7" s="1"/>
  <c r="Z21" i="7"/>
  <c r="AA21" i="7" s="1"/>
  <c r="Z22" i="7"/>
  <c r="AA22" i="7" s="1"/>
  <c r="Z23" i="7"/>
  <c r="AA23" i="7" s="1"/>
  <c r="Z24" i="7"/>
  <c r="AA24" i="7" s="1"/>
  <c r="Z25" i="7"/>
  <c r="AA25" i="7" s="1"/>
  <c r="Z26" i="7"/>
  <c r="AA26" i="7" s="1"/>
  <c r="Z27" i="7"/>
  <c r="AA27" i="7" s="1"/>
  <c r="Z28" i="7"/>
  <c r="AA28" i="7" s="1"/>
  <c r="Z29" i="7"/>
  <c r="AA29" i="7" s="1"/>
  <c r="Z30" i="7"/>
  <c r="AA30" i="7" s="1"/>
  <c r="Z31" i="7"/>
  <c r="AA31" i="7" s="1"/>
  <c r="Z32" i="7"/>
  <c r="AA32" i="7" s="1"/>
  <c r="Z33" i="7"/>
  <c r="AA33" i="7" s="1"/>
  <c r="Z34" i="7"/>
  <c r="AA34" i="7" s="1"/>
  <c r="Z35" i="7"/>
  <c r="AA35" i="7" s="1"/>
  <c r="Z10" i="7"/>
  <c r="AA10" i="7" s="1"/>
  <c r="AA11" i="10"/>
  <c r="AB11" i="10" s="1"/>
  <c r="AA12" i="10"/>
  <c r="AB12" i="10" s="1"/>
  <c r="AA13" i="10"/>
  <c r="AB13" i="10" s="1"/>
  <c r="AA10" i="10"/>
  <c r="AB10" i="10" s="1"/>
  <c r="AA11" i="6"/>
  <c r="AB11" i="6" s="1"/>
  <c r="AA12" i="6"/>
  <c r="AB12" i="6" s="1"/>
  <c r="AA13" i="6"/>
  <c r="AB13" i="6" s="1"/>
  <c r="AA14" i="6"/>
  <c r="AB14" i="6" s="1"/>
  <c r="AA15" i="6"/>
  <c r="AB15" i="6" s="1"/>
  <c r="AA16" i="6"/>
  <c r="AB16" i="6" s="1"/>
  <c r="AA17" i="6"/>
  <c r="AB17" i="6" s="1"/>
  <c r="AA18" i="6"/>
  <c r="AB18" i="6" s="1"/>
  <c r="AA19" i="6"/>
  <c r="AB19" i="6" s="1"/>
  <c r="AA20" i="6"/>
  <c r="AB20" i="6" s="1"/>
  <c r="AA21" i="6"/>
  <c r="AB21" i="6" s="1"/>
  <c r="AA22" i="6"/>
  <c r="AB22" i="6" s="1"/>
  <c r="AA23" i="6"/>
  <c r="AB23" i="6" s="1"/>
  <c r="AA24" i="6"/>
  <c r="AB24" i="6" s="1"/>
  <c r="AA25" i="6"/>
  <c r="AB25" i="6" s="1"/>
  <c r="AA26" i="6"/>
  <c r="AB26" i="6" s="1"/>
  <c r="AA27" i="6"/>
  <c r="AB27" i="6" s="1"/>
  <c r="AA28" i="6"/>
  <c r="AB28" i="6" s="1"/>
  <c r="AA29" i="6"/>
  <c r="AB29" i="6" s="1"/>
  <c r="AA30" i="6"/>
  <c r="AB30" i="6" s="1"/>
  <c r="AA31" i="6"/>
  <c r="AB31" i="6" s="1"/>
  <c r="AA32" i="6"/>
  <c r="AB32" i="6" s="1"/>
  <c r="AA33" i="6"/>
  <c r="AB33" i="6" s="1"/>
  <c r="AA34" i="6"/>
  <c r="AB34" i="6" s="1"/>
  <c r="AA10" i="6"/>
  <c r="AB10" i="6" s="1"/>
  <c r="AA11" i="11"/>
  <c r="AB11" i="11" s="1"/>
  <c r="AA12" i="11"/>
  <c r="AB12" i="11" s="1"/>
  <c r="AA13" i="11"/>
  <c r="AB13" i="11" s="1"/>
  <c r="AA14" i="11"/>
  <c r="AB14" i="11" s="1"/>
  <c r="AA15" i="11"/>
  <c r="AB15" i="11" s="1"/>
  <c r="AA16" i="11"/>
  <c r="AB16" i="11" s="1"/>
  <c r="AA17" i="11"/>
  <c r="AB17" i="11" s="1"/>
  <c r="AA18" i="11"/>
  <c r="AB18" i="11" s="1"/>
  <c r="AA19" i="11"/>
  <c r="AB19" i="11" s="1"/>
  <c r="AA20" i="11"/>
  <c r="AB20" i="11" s="1"/>
  <c r="AA21" i="11"/>
  <c r="AB21" i="11" s="1"/>
  <c r="AA22" i="11"/>
  <c r="AB22" i="11" s="1"/>
  <c r="AA10" i="11"/>
  <c r="AB10" i="11" s="1"/>
  <c r="AA11" i="5"/>
  <c r="AB11" i="5" s="1"/>
  <c r="AA12" i="5"/>
  <c r="AB12" i="5" s="1"/>
  <c r="AA13" i="5"/>
  <c r="AB13" i="5" s="1"/>
  <c r="AA14" i="5"/>
  <c r="AB14" i="5" s="1"/>
  <c r="AA15" i="5"/>
  <c r="AB15" i="5" s="1"/>
  <c r="AA16" i="5"/>
  <c r="AB16" i="5" s="1"/>
  <c r="AA17" i="5"/>
  <c r="AB17" i="5" s="1"/>
  <c r="AA18" i="5"/>
  <c r="AB18" i="5" s="1"/>
  <c r="AA19" i="5"/>
  <c r="AB19" i="5" s="1"/>
  <c r="AA20" i="5"/>
  <c r="AB20" i="5" s="1"/>
  <c r="AA21" i="5"/>
  <c r="AB21" i="5" s="1"/>
  <c r="AA22" i="5"/>
  <c r="AB22" i="5" s="1"/>
  <c r="AA10" i="5"/>
  <c r="AB10" i="5" s="1"/>
  <c r="AA11" i="9"/>
  <c r="AB11" i="9" s="1"/>
  <c r="AA12" i="9"/>
  <c r="AB12" i="9" s="1"/>
  <c r="AA13" i="9"/>
  <c r="AB13" i="9" s="1"/>
  <c r="AA14" i="9"/>
  <c r="AB14" i="9" s="1"/>
  <c r="AA15" i="9"/>
  <c r="AB15" i="9" s="1"/>
  <c r="AA10" i="9"/>
  <c r="AB10" i="9" s="1"/>
  <c r="AA11" i="4"/>
  <c r="AB11" i="4" s="1"/>
  <c r="AA12" i="4"/>
  <c r="AB12" i="4" s="1"/>
  <c r="AA13" i="4"/>
  <c r="AB13" i="4" s="1"/>
  <c r="AA14" i="4"/>
  <c r="AB14" i="4" s="1"/>
  <c r="AA15" i="4"/>
  <c r="AB15" i="4" s="1"/>
  <c r="AA16" i="4"/>
  <c r="AB16" i="4" s="1"/>
  <c r="AA17" i="4"/>
  <c r="AB17" i="4" s="1"/>
  <c r="AA18" i="4"/>
  <c r="AB18" i="4" s="1"/>
  <c r="AA10" i="4"/>
  <c r="AB10" i="4" s="1"/>
  <c r="M25" i="1" l="1"/>
  <c r="I17" i="1"/>
  <c r="L31" i="1"/>
  <c r="L29" i="1"/>
  <c r="L28" i="1"/>
  <c r="L25" i="1"/>
  <c r="N35" i="1"/>
  <c r="N34" i="1"/>
  <c r="N33" i="1"/>
  <c r="N32" i="1"/>
  <c r="N31" i="1"/>
  <c r="N30" i="1"/>
  <c r="M35" i="1"/>
  <c r="M34" i="1"/>
  <c r="M33" i="1"/>
  <c r="M32" i="1"/>
  <c r="M31" i="1"/>
  <c r="M30" i="1"/>
  <c r="AI22" i="11"/>
  <c r="AK22" i="11" s="1"/>
  <c r="AD22" i="11"/>
  <c r="AF22" i="11" s="1"/>
  <c r="K22" i="11"/>
  <c r="C22" i="11"/>
  <c r="D22" i="11" s="1"/>
  <c r="AI21" i="11"/>
  <c r="AK21" i="11" s="1"/>
  <c r="AD21" i="11"/>
  <c r="AF21" i="11" s="1"/>
  <c r="K21" i="11"/>
  <c r="C21" i="11"/>
  <c r="D21" i="11" s="1"/>
  <c r="AI20" i="11"/>
  <c r="AK20" i="11" s="1"/>
  <c r="AD20" i="11"/>
  <c r="AF20" i="11" s="1"/>
  <c r="K20" i="11"/>
  <c r="C20" i="11"/>
  <c r="D20" i="11" s="1"/>
  <c r="AI19" i="11"/>
  <c r="AK19" i="11" s="1"/>
  <c r="AD19" i="11"/>
  <c r="AF19" i="11" s="1"/>
  <c r="K19" i="11"/>
  <c r="C19" i="11"/>
  <c r="D19" i="11" s="1"/>
  <c r="AI18" i="11"/>
  <c r="AK18" i="11" s="1"/>
  <c r="AD18" i="11"/>
  <c r="AF18" i="11" s="1"/>
  <c r="K18" i="11"/>
  <c r="C18" i="11"/>
  <c r="D18" i="11" s="1"/>
  <c r="AI17" i="11"/>
  <c r="AK17" i="11" s="1"/>
  <c r="AD17" i="11"/>
  <c r="AF17" i="11" s="1"/>
  <c r="K17" i="11"/>
  <c r="C17" i="11"/>
  <c r="D17" i="11" s="1"/>
  <c r="AI16" i="11"/>
  <c r="AK16" i="11" s="1"/>
  <c r="AD16" i="11"/>
  <c r="AF16" i="11" s="1"/>
  <c r="K16" i="11"/>
  <c r="C16" i="11"/>
  <c r="D16" i="11" s="1"/>
  <c r="AI15" i="11"/>
  <c r="AK15" i="11" s="1"/>
  <c r="AD15" i="11"/>
  <c r="AF15" i="11" s="1"/>
  <c r="K15" i="11"/>
  <c r="C15" i="11"/>
  <c r="D15" i="11" s="1"/>
  <c r="AI14" i="11"/>
  <c r="AK14" i="11" s="1"/>
  <c r="AD14" i="11"/>
  <c r="AF14" i="11" s="1"/>
  <c r="K14" i="11"/>
  <c r="C14" i="11"/>
  <c r="D14" i="11" s="1"/>
  <c r="AI13" i="11"/>
  <c r="AK13" i="11" s="1"/>
  <c r="AD13" i="11"/>
  <c r="AF13" i="11" s="1"/>
  <c r="K13" i="11"/>
  <c r="C13" i="11"/>
  <c r="D13" i="11" s="1"/>
  <c r="AI12" i="11"/>
  <c r="AK12" i="11" s="1"/>
  <c r="AD12" i="11"/>
  <c r="AF12" i="11" s="1"/>
  <c r="K12" i="11"/>
  <c r="C12" i="11"/>
  <c r="D12" i="11" s="1"/>
  <c r="AI11" i="11"/>
  <c r="AK11" i="11" s="1"/>
  <c r="AD11" i="11"/>
  <c r="AF11" i="11" s="1"/>
  <c r="K11" i="11"/>
  <c r="C11" i="11"/>
  <c r="D11" i="11" s="1"/>
  <c r="AI10" i="11"/>
  <c r="AK10" i="11" s="1"/>
  <c r="AD10" i="11"/>
  <c r="AF10" i="11" s="1"/>
  <c r="K10" i="11"/>
  <c r="C10" i="11"/>
  <c r="D10" i="11" s="1"/>
  <c r="AI13" i="10"/>
  <c r="AK13" i="10" s="1"/>
  <c r="AD13" i="10"/>
  <c r="AF13" i="10" s="1"/>
  <c r="K13" i="10"/>
  <c r="AI12" i="10"/>
  <c r="AK12" i="10" s="1"/>
  <c r="AD12" i="10"/>
  <c r="AF12" i="10" s="1"/>
  <c r="K12" i="10"/>
  <c r="AI11" i="10"/>
  <c r="AK11" i="10" s="1"/>
  <c r="AD11" i="10"/>
  <c r="AF11" i="10" s="1"/>
  <c r="K11" i="10"/>
  <c r="AI10" i="10"/>
  <c r="AK10" i="10" s="1"/>
  <c r="AD10" i="10"/>
  <c r="AF10" i="10" s="1"/>
  <c r="K10" i="10"/>
  <c r="N28" i="1"/>
  <c r="N27" i="1"/>
  <c r="N26" i="1"/>
  <c r="M29" i="1"/>
  <c r="M28" i="1"/>
  <c r="M27" i="1"/>
  <c r="M26" i="1"/>
  <c r="AI15" i="9"/>
  <c r="AK15" i="9" s="1"/>
  <c r="AD15" i="9"/>
  <c r="AF15" i="9" s="1"/>
  <c r="K15" i="9"/>
  <c r="C15" i="9"/>
  <c r="D15" i="9" s="1"/>
  <c r="AI14" i="9"/>
  <c r="AK14" i="9" s="1"/>
  <c r="AD14" i="9"/>
  <c r="AF14" i="9" s="1"/>
  <c r="K14" i="9"/>
  <c r="C14" i="9"/>
  <c r="D14" i="9" s="1"/>
  <c r="AI13" i="9"/>
  <c r="AK13" i="9" s="1"/>
  <c r="AD13" i="9"/>
  <c r="AF13" i="9" s="1"/>
  <c r="K13" i="9"/>
  <c r="C13" i="9"/>
  <c r="D13" i="9" s="1"/>
  <c r="AI12" i="9"/>
  <c r="AK12" i="9" s="1"/>
  <c r="AD12" i="9"/>
  <c r="AF12" i="9" s="1"/>
  <c r="K12" i="9"/>
  <c r="C12" i="9"/>
  <c r="D12" i="9" s="1"/>
  <c r="AI11" i="9"/>
  <c r="AK11" i="9" s="1"/>
  <c r="AD11" i="9"/>
  <c r="AF11" i="9" s="1"/>
  <c r="K11" i="9"/>
  <c r="C11" i="9"/>
  <c r="D11" i="9" s="1"/>
  <c r="AI10" i="9"/>
  <c r="AK10" i="9" s="1"/>
  <c r="AD10" i="9"/>
  <c r="AF10" i="9" s="1"/>
  <c r="K10" i="9"/>
  <c r="C10" i="9"/>
  <c r="D10" i="9" s="1"/>
  <c r="C36" i="4"/>
  <c r="D36" i="4" s="1"/>
  <c r="C37" i="4"/>
  <c r="D37" i="4" s="1"/>
  <c r="C38" i="4"/>
  <c r="D38" i="4" s="1"/>
  <c r="L38" i="4" s="1"/>
  <c r="C39" i="4"/>
  <c r="D39" i="4" s="1"/>
  <c r="C30" i="4"/>
  <c r="D30" i="4" s="1"/>
  <c r="J25" i="1"/>
  <c r="K35" i="1"/>
  <c r="J35" i="1"/>
  <c r="C35" i="1"/>
  <c r="J34" i="1"/>
  <c r="C34" i="1"/>
  <c r="J33" i="1"/>
  <c r="C33" i="1"/>
  <c r="J32" i="1"/>
  <c r="C32" i="1"/>
  <c r="J31" i="1"/>
  <c r="C31" i="1"/>
  <c r="J30" i="1"/>
  <c r="C30" i="1"/>
  <c r="J29" i="1"/>
  <c r="C29" i="1"/>
  <c r="J28" i="1"/>
  <c r="C28" i="1"/>
  <c r="J27" i="1"/>
  <c r="C27" i="1"/>
  <c r="J26" i="1"/>
  <c r="C26" i="1"/>
  <c r="L39" i="4" l="1"/>
  <c r="L37" i="4"/>
  <c r="L36" i="4"/>
  <c r="L30" i="4"/>
  <c r="L11" i="9"/>
  <c r="L32" i="1"/>
  <c r="L33" i="1"/>
  <c r="L34" i="1"/>
  <c r="L26" i="1"/>
  <c r="L30" i="1"/>
  <c r="K28" i="1"/>
  <c r="K29" i="1"/>
  <c r="K30" i="1"/>
  <c r="L27" i="1"/>
  <c r="L35" i="1"/>
  <c r="K31" i="1"/>
  <c r="K32" i="1"/>
  <c r="K25" i="1"/>
  <c r="K33" i="1"/>
  <c r="K26" i="1"/>
  <c r="K34" i="1"/>
  <c r="K27" i="1"/>
  <c r="L18" i="11"/>
  <c r="L14" i="11"/>
  <c r="L12" i="11"/>
  <c r="L10" i="11"/>
  <c r="L13" i="11"/>
  <c r="L15" i="11"/>
  <c r="L17" i="11"/>
  <c r="L19" i="11"/>
  <c r="L21" i="11"/>
  <c r="L11" i="11"/>
  <c r="L20" i="11"/>
  <c r="L16" i="11"/>
  <c r="L22" i="11"/>
  <c r="L13" i="9"/>
  <c r="L14" i="9"/>
  <c r="L12" i="9"/>
  <c r="L10" i="9"/>
  <c r="L15" i="9"/>
  <c r="K20" i="5"/>
  <c r="AD20" i="5"/>
  <c r="AF20" i="5" s="1"/>
  <c r="AI20" i="5"/>
  <c r="AK20" i="5" s="1"/>
  <c r="K21" i="5"/>
  <c r="AD21" i="5"/>
  <c r="AF21" i="5" s="1"/>
  <c r="AI21" i="5"/>
  <c r="AK21" i="5" s="1"/>
  <c r="K22" i="5"/>
  <c r="AD22" i="5"/>
  <c r="AF22" i="5" s="1"/>
  <c r="AI22" i="5"/>
  <c r="AK22" i="5" s="1"/>
  <c r="U30" i="2"/>
  <c r="AN25" i="8" l="1"/>
  <c r="AO25" i="8" s="1"/>
  <c r="AN11" i="8"/>
  <c r="AO11" i="8" s="1"/>
  <c r="AN24" i="8"/>
  <c r="AO24" i="8" s="1"/>
  <c r="AN12" i="8"/>
  <c r="AO12" i="8" s="1"/>
  <c r="AN14" i="8"/>
  <c r="AO14" i="8" s="1"/>
  <c r="AN16" i="8"/>
  <c r="AO16" i="8" s="1"/>
  <c r="AN18" i="8"/>
  <c r="AO18" i="8" s="1"/>
  <c r="AN20" i="8"/>
  <c r="AO20" i="8" s="1"/>
  <c r="AN22" i="8"/>
  <c r="AO22" i="8" s="1"/>
  <c r="AN17" i="8"/>
  <c r="AO17" i="8" s="1"/>
  <c r="AN23" i="8"/>
  <c r="AO23" i="8" s="1"/>
  <c r="AN13" i="8"/>
  <c r="AO13" i="8" s="1"/>
  <c r="AN19" i="8"/>
  <c r="AO19" i="8" s="1"/>
  <c r="AN21" i="8"/>
  <c r="AO21" i="8" s="1"/>
  <c r="AN15" i="8"/>
  <c r="AO15" i="8" s="1"/>
  <c r="AO14" i="14"/>
  <c r="AP14" i="14" s="1"/>
  <c r="AO11" i="14"/>
  <c r="AP11" i="14" s="1"/>
  <c r="AO13" i="14"/>
  <c r="AP13" i="14" s="1"/>
  <c r="AO10" i="14"/>
  <c r="AP10" i="14" s="1"/>
  <c r="AO15" i="14"/>
  <c r="AP15" i="14" s="1"/>
  <c r="AO12" i="14"/>
  <c r="AP12" i="14" s="1"/>
  <c r="C23" i="8"/>
  <c r="D23" i="8" s="1"/>
  <c r="C22" i="8"/>
  <c r="D22" i="8" s="1"/>
  <c r="C21" i="8"/>
  <c r="D21" i="8" s="1"/>
  <c r="C20" i="8"/>
  <c r="D20" i="8" s="1"/>
  <c r="C19" i="8"/>
  <c r="D19" i="8" s="1"/>
  <c r="C18" i="8"/>
  <c r="D18" i="8" s="1"/>
  <c r="C17" i="8"/>
  <c r="D17" i="8" s="1"/>
  <c r="C16" i="8"/>
  <c r="D16" i="8" s="1"/>
  <c r="C15" i="8"/>
  <c r="D15" i="8" s="1"/>
  <c r="C14" i="8"/>
  <c r="D14" i="8" s="1"/>
  <c r="C13" i="8"/>
  <c r="D13" i="8" s="1"/>
  <c r="C12" i="8"/>
  <c r="D12" i="8" s="1"/>
  <c r="C11" i="8"/>
  <c r="D11" i="8" s="1"/>
  <c r="S10" i="8"/>
  <c r="U10" i="8" s="1"/>
  <c r="N10" i="8"/>
  <c r="P10" i="8" s="1"/>
  <c r="C10" i="8"/>
  <c r="D10" i="8" s="1"/>
  <c r="AN10" i="8" l="1"/>
  <c r="AO10" i="8" s="1"/>
  <c r="AI19" i="5"/>
  <c r="AK19" i="5" s="1"/>
  <c r="AD19" i="5"/>
  <c r="AF19" i="5" s="1"/>
  <c r="K19" i="5"/>
  <c r="AI18" i="5"/>
  <c r="AK18" i="5" s="1"/>
  <c r="AD18" i="5"/>
  <c r="AF18" i="5" s="1"/>
  <c r="K18" i="5"/>
  <c r="AI17" i="5"/>
  <c r="AK17" i="5" s="1"/>
  <c r="AD17" i="5"/>
  <c r="AF17" i="5" s="1"/>
  <c r="K17" i="5"/>
  <c r="AI16" i="5"/>
  <c r="AK16" i="5" s="1"/>
  <c r="AD16" i="5"/>
  <c r="AF16" i="5" s="1"/>
  <c r="K16" i="5"/>
  <c r="AI15" i="5"/>
  <c r="AK15" i="5" s="1"/>
  <c r="AD15" i="5"/>
  <c r="AF15" i="5" s="1"/>
  <c r="K15" i="5"/>
  <c r="AI14" i="5"/>
  <c r="AK14" i="5" s="1"/>
  <c r="AD14" i="5"/>
  <c r="AF14" i="5" s="1"/>
  <c r="K14" i="5"/>
  <c r="AI13" i="5"/>
  <c r="AK13" i="5" s="1"/>
  <c r="AD13" i="5"/>
  <c r="AF13" i="5" s="1"/>
  <c r="K13" i="5"/>
  <c r="AI12" i="5"/>
  <c r="AK12" i="5" s="1"/>
  <c r="AD12" i="5"/>
  <c r="AF12" i="5" s="1"/>
  <c r="K12" i="5"/>
  <c r="AI11" i="5"/>
  <c r="AK11" i="5" s="1"/>
  <c r="AD11" i="5"/>
  <c r="AF11" i="5" s="1"/>
  <c r="K11" i="5"/>
  <c r="AI10" i="5"/>
  <c r="AK10" i="5" s="1"/>
  <c r="AD10" i="5"/>
  <c r="AF10" i="5" s="1"/>
  <c r="K10" i="5"/>
  <c r="C11" i="4"/>
  <c r="D11" i="4" s="1"/>
  <c r="C12" i="4"/>
  <c r="D12" i="4" s="1"/>
  <c r="C13" i="4"/>
  <c r="D13" i="4" s="1"/>
  <c r="C14" i="4"/>
  <c r="C15" i="4"/>
  <c r="C16" i="4"/>
  <c r="C17" i="4"/>
  <c r="C18" i="4"/>
  <c r="C19" i="4"/>
  <c r="C20" i="4"/>
  <c r="C21" i="4"/>
  <c r="C22" i="4"/>
  <c r="D22" i="4" s="1"/>
  <c r="C23" i="4"/>
  <c r="D23" i="4" s="1"/>
  <c r="L23" i="4" s="1"/>
  <c r="C24" i="4"/>
  <c r="D24" i="4" s="1"/>
  <c r="L24" i="4" s="1"/>
  <c r="C25" i="4"/>
  <c r="D25" i="4" s="1"/>
  <c r="L25" i="4" s="1"/>
  <c r="C26" i="4"/>
  <c r="D26" i="4" s="1"/>
  <c r="L26" i="4" s="1"/>
  <c r="C27" i="4"/>
  <c r="D27" i="4" s="1"/>
  <c r="L27" i="4" s="1"/>
  <c r="C28" i="4"/>
  <c r="D28" i="4" s="1"/>
  <c r="L28" i="4" s="1"/>
  <c r="C29" i="4"/>
  <c r="D29" i="4" s="1"/>
  <c r="C31" i="4"/>
  <c r="D31" i="4" s="1"/>
  <c r="C32" i="4"/>
  <c r="D32" i="4" s="1"/>
  <c r="C33" i="4"/>
  <c r="D33" i="4" s="1"/>
  <c r="C34" i="4"/>
  <c r="D34" i="4" s="1"/>
  <c r="C35" i="4"/>
  <c r="D35" i="4" s="1"/>
  <c r="C10" i="4"/>
  <c r="AD32" i="6"/>
  <c r="AF32" i="6" s="1"/>
  <c r="AI32" i="6"/>
  <c r="AK32" i="6" s="1"/>
  <c r="AD33" i="6"/>
  <c r="AF33" i="6" s="1"/>
  <c r="AI33" i="6"/>
  <c r="AK33" i="6" s="1"/>
  <c r="AD34" i="6"/>
  <c r="AF34" i="6" s="1"/>
  <c r="AI34" i="6"/>
  <c r="AK34" i="6" s="1"/>
  <c r="AI31" i="6"/>
  <c r="AK31" i="6" s="1"/>
  <c r="AD31" i="6"/>
  <c r="AF31" i="6" s="1"/>
  <c r="AI30" i="6"/>
  <c r="AK30" i="6" s="1"/>
  <c r="AD30" i="6"/>
  <c r="AF30" i="6" s="1"/>
  <c r="AI29" i="6"/>
  <c r="AK29" i="6" s="1"/>
  <c r="AD29" i="6"/>
  <c r="AF29" i="6" s="1"/>
  <c r="AI28" i="6"/>
  <c r="AK28" i="6" s="1"/>
  <c r="AD28" i="6"/>
  <c r="AF28" i="6" s="1"/>
  <c r="AI27" i="6"/>
  <c r="AK27" i="6" s="1"/>
  <c r="AD27" i="6"/>
  <c r="AF27" i="6" s="1"/>
  <c r="AI26" i="6"/>
  <c r="AK26" i="6" s="1"/>
  <c r="AD26" i="6"/>
  <c r="AF26" i="6" s="1"/>
  <c r="AI25" i="6"/>
  <c r="AK25" i="6" s="1"/>
  <c r="AD25" i="6"/>
  <c r="AF25" i="6" s="1"/>
  <c r="AI24" i="6"/>
  <c r="AK24" i="6" s="1"/>
  <c r="AD24" i="6"/>
  <c r="AF24" i="6" s="1"/>
  <c r="AI23" i="6"/>
  <c r="AK23" i="6" s="1"/>
  <c r="AD23" i="6"/>
  <c r="AF23" i="6" s="1"/>
  <c r="K23" i="6"/>
  <c r="AI22" i="6"/>
  <c r="AK22" i="6" s="1"/>
  <c r="AD22" i="6"/>
  <c r="AF22" i="6" s="1"/>
  <c r="K22" i="6"/>
  <c r="AI21" i="6"/>
  <c r="AK21" i="6" s="1"/>
  <c r="AD21" i="6"/>
  <c r="AF21" i="6" s="1"/>
  <c r="K21" i="6"/>
  <c r="AI20" i="6"/>
  <c r="AK20" i="6" s="1"/>
  <c r="AD20" i="6"/>
  <c r="AF20" i="6" s="1"/>
  <c r="K20" i="6"/>
  <c r="AI19" i="6"/>
  <c r="AK19" i="6" s="1"/>
  <c r="AD19" i="6"/>
  <c r="AF19" i="6" s="1"/>
  <c r="K19" i="6"/>
  <c r="AI18" i="6"/>
  <c r="AK18" i="6" s="1"/>
  <c r="AD18" i="6"/>
  <c r="AF18" i="6" s="1"/>
  <c r="K18" i="6"/>
  <c r="AI17" i="6"/>
  <c r="AK17" i="6" s="1"/>
  <c r="AD17" i="6"/>
  <c r="AF17" i="6" s="1"/>
  <c r="K17" i="6"/>
  <c r="AI16" i="6"/>
  <c r="AK16" i="6" s="1"/>
  <c r="AD16" i="6"/>
  <c r="AF16" i="6" s="1"/>
  <c r="K16" i="6"/>
  <c r="AI15" i="6"/>
  <c r="AK15" i="6" s="1"/>
  <c r="AD15" i="6"/>
  <c r="AF15" i="6" s="1"/>
  <c r="K15" i="6"/>
  <c r="AI14" i="6"/>
  <c r="AK14" i="6" s="1"/>
  <c r="AD14" i="6"/>
  <c r="AF14" i="6" s="1"/>
  <c r="K14" i="6"/>
  <c r="AI13" i="6"/>
  <c r="AK13" i="6" s="1"/>
  <c r="AD13" i="6"/>
  <c r="AF13" i="6" s="1"/>
  <c r="K13" i="6"/>
  <c r="AI12" i="6"/>
  <c r="AK12" i="6" s="1"/>
  <c r="AD12" i="6"/>
  <c r="AF12" i="6" s="1"/>
  <c r="K12" i="6"/>
  <c r="AI11" i="6"/>
  <c r="AK11" i="6" s="1"/>
  <c r="AD11" i="6"/>
  <c r="AF11" i="6" s="1"/>
  <c r="K11" i="6"/>
  <c r="AI10" i="6"/>
  <c r="AK10" i="6" s="1"/>
  <c r="AD10" i="6"/>
  <c r="AF10" i="6" s="1"/>
  <c r="K10" i="6"/>
  <c r="L33" i="4" l="1"/>
  <c r="L32" i="4"/>
  <c r="L31" i="4"/>
  <c r="L22" i="4"/>
  <c r="L29" i="4"/>
  <c r="L34" i="4"/>
  <c r="L35" i="4"/>
  <c r="D14" i="4"/>
  <c r="D20" i="4"/>
  <c r="D18" i="4"/>
  <c r="D15" i="4"/>
  <c r="D16" i="4"/>
  <c r="AI11" i="4"/>
  <c r="AK11" i="4" s="1"/>
  <c r="AI12" i="4"/>
  <c r="AK12" i="4" s="1"/>
  <c r="AI13" i="4"/>
  <c r="AK13" i="4" s="1"/>
  <c r="AI14" i="4"/>
  <c r="AK14" i="4" s="1"/>
  <c r="AI15" i="4"/>
  <c r="AK15" i="4" s="1"/>
  <c r="AI16" i="4"/>
  <c r="AK16" i="4" s="1"/>
  <c r="AI17" i="4"/>
  <c r="AK17" i="4" s="1"/>
  <c r="AI18" i="4"/>
  <c r="AK18" i="4" s="1"/>
  <c r="AI10" i="4"/>
  <c r="AK10" i="4" s="1"/>
  <c r="AD11" i="4"/>
  <c r="AF11" i="4" s="1"/>
  <c r="AD12" i="4"/>
  <c r="AF12" i="4" s="1"/>
  <c r="AD13" i="4"/>
  <c r="AF13" i="4" s="1"/>
  <c r="AD14" i="4"/>
  <c r="AF14" i="4" s="1"/>
  <c r="AD15" i="4"/>
  <c r="AF15" i="4" s="1"/>
  <c r="AD16" i="4"/>
  <c r="AF16" i="4" s="1"/>
  <c r="AD17" i="4"/>
  <c r="AF17" i="4" s="1"/>
  <c r="AD18" i="4"/>
  <c r="AF18" i="4" s="1"/>
  <c r="AD10" i="4"/>
  <c r="AF10" i="4" s="1"/>
  <c r="K11" i="4"/>
  <c r="L11" i="4" s="1"/>
  <c r="K12" i="4"/>
  <c r="L12" i="4" s="1"/>
  <c r="K13" i="4"/>
  <c r="L13" i="4" s="1"/>
  <c r="K14" i="4"/>
  <c r="K15" i="4"/>
  <c r="K16" i="4"/>
  <c r="K17" i="4"/>
  <c r="K18" i="4"/>
  <c r="K19" i="4"/>
  <c r="K20" i="4"/>
  <c r="K21" i="4"/>
  <c r="K10" i="4"/>
  <c r="D10" i="4"/>
  <c r="C18" i="2"/>
  <c r="C19" i="2"/>
  <c r="C20" i="2"/>
  <c r="C21" i="2"/>
  <c r="C17" i="2"/>
  <c r="C15" i="2"/>
  <c r="C13" i="2"/>
  <c r="C14" i="2"/>
  <c r="C12" i="2"/>
  <c r="E15" i="4" l="1"/>
  <c r="M15" i="4" s="1"/>
  <c r="E22" i="4"/>
  <c r="E25" i="4"/>
  <c r="E32" i="4"/>
  <c r="E39" i="4"/>
  <c r="E24" i="4"/>
  <c r="E31" i="4"/>
  <c r="E38" i="4"/>
  <c r="E37" i="4"/>
  <c r="E33" i="4"/>
  <c r="E30" i="4"/>
  <c r="E23" i="4"/>
  <c r="E29" i="4"/>
  <c r="E36" i="4"/>
  <c r="E28" i="4"/>
  <c r="E34" i="4"/>
  <c r="E35" i="4"/>
  <c r="E26" i="4"/>
  <c r="E27" i="4"/>
  <c r="E21" i="7"/>
  <c r="E24" i="7"/>
  <c r="E34" i="7"/>
  <c r="E20" i="7"/>
  <c r="E30" i="7"/>
  <c r="E33" i="7"/>
  <c r="E24" i="6"/>
  <c r="E23" i="7"/>
  <c r="E19" i="7"/>
  <c r="E26" i="7"/>
  <c r="E29" i="7"/>
  <c r="E32" i="7"/>
  <c r="E25" i="6"/>
  <c r="E33" i="6"/>
  <c r="E34" i="6"/>
  <c r="E35" i="7"/>
  <c r="E26" i="6"/>
  <c r="E32" i="6"/>
  <c r="E27" i="6"/>
  <c r="E27" i="7"/>
  <c r="E31" i="7"/>
  <c r="E29" i="6"/>
  <c r="E31" i="6"/>
  <c r="E28" i="7"/>
  <c r="E22" i="7"/>
  <c r="E17" i="7"/>
  <c r="E25" i="7"/>
  <c r="E18" i="7"/>
  <c r="E28" i="6"/>
  <c r="E30" i="6"/>
  <c r="C25" i="13"/>
  <c r="C27" i="13"/>
  <c r="C29" i="13"/>
  <c r="C31" i="13"/>
  <c r="C33" i="13"/>
  <c r="C21" i="13"/>
  <c r="C23" i="13"/>
  <c r="C20" i="13"/>
  <c r="C8" i="13"/>
  <c r="C12" i="13"/>
  <c r="C16" i="13"/>
  <c r="C5" i="13"/>
  <c r="C9" i="13"/>
  <c r="C13" i="13"/>
  <c r="C17" i="13"/>
  <c r="C6" i="13"/>
  <c r="C18" i="13"/>
  <c r="C11" i="13"/>
  <c r="C26" i="13"/>
  <c r="C28" i="13"/>
  <c r="C30" i="13"/>
  <c r="C32" i="13"/>
  <c r="C34" i="13"/>
  <c r="C22" i="13"/>
  <c r="C24" i="13"/>
  <c r="C10" i="13"/>
  <c r="C14" i="13"/>
  <c r="C15" i="13"/>
  <c r="C19" i="13"/>
  <c r="C7" i="13"/>
  <c r="E13" i="4"/>
  <c r="M13" i="4" s="1"/>
  <c r="O13" i="4" s="1"/>
  <c r="E13" i="12"/>
  <c r="E11" i="12"/>
  <c r="E12" i="10"/>
  <c r="E11" i="10"/>
  <c r="E10" i="10"/>
  <c r="E13" i="10"/>
  <c r="E12" i="12"/>
  <c r="E10" i="12"/>
  <c r="E12" i="7"/>
  <c r="K12" i="7" s="1"/>
  <c r="L12" i="7" s="1"/>
  <c r="N12" i="7" s="1"/>
  <c r="E17" i="6"/>
  <c r="E12" i="6"/>
  <c r="E11" i="7"/>
  <c r="K11" i="7" s="1"/>
  <c r="L11" i="7" s="1"/>
  <c r="N11" i="7" s="1"/>
  <c r="E18" i="6"/>
  <c r="E10" i="7"/>
  <c r="K10" i="7" s="1"/>
  <c r="L10" i="7" s="1"/>
  <c r="N10" i="7" s="1"/>
  <c r="E11" i="6"/>
  <c r="E19" i="6"/>
  <c r="E10" i="6"/>
  <c r="E20" i="6"/>
  <c r="E16" i="7"/>
  <c r="K16" i="7" s="1"/>
  <c r="M16" i="7" s="1"/>
  <c r="O16" i="7" s="1"/>
  <c r="E13" i="6"/>
  <c r="E21" i="6"/>
  <c r="E13" i="7"/>
  <c r="K13" i="7" s="1"/>
  <c r="M13" i="7" s="1"/>
  <c r="O13" i="7" s="1"/>
  <c r="E15" i="7"/>
  <c r="K15" i="7" s="1"/>
  <c r="M15" i="7" s="1"/>
  <c r="O15" i="7" s="1"/>
  <c r="E14" i="6"/>
  <c r="E22" i="6"/>
  <c r="E14" i="7"/>
  <c r="K14" i="7" s="1"/>
  <c r="L14" i="7" s="1"/>
  <c r="N14" i="7" s="1"/>
  <c r="E15" i="6"/>
  <c r="E23" i="6"/>
  <c r="E16" i="6"/>
  <c r="E12" i="11"/>
  <c r="E15" i="11"/>
  <c r="E21" i="11"/>
  <c r="E20" i="11"/>
  <c r="E19" i="11"/>
  <c r="E18" i="11"/>
  <c r="E17" i="11"/>
  <c r="E16" i="11"/>
  <c r="E14" i="11"/>
  <c r="E22" i="11"/>
  <c r="E13" i="11"/>
  <c r="E11" i="11"/>
  <c r="E10" i="11"/>
  <c r="E21" i="5"/>
  <c r="E22" i="5"/>
  <c r="E20" i="5"/>
  <c r="E15" i="5"/>
  <c r="E16" i="5"/>
  <c r="E17" i="5"/>
  <c r="E18" i="5"/>
  <c r="E11" i="5"/>
  <c r="E19" i="5"/>
  <c r="E12" i="5"/>
  <c r="E10" i="5"/>
  <c r="E13" i="5"/>
  <c r="E14" i="5"/>
  <c r="E13" i="9"/>
  <c r="E10" i="9"/>
  <c r="E14" i="9"/>
  <c r="E15" i="9"/>
  <c r="E11" i="9"/>
  <c r="E12" i="9"/>
  <c r="M11" i="7"/>
  <c r="O11" i="7" s="1"/>
  <c r="P11" i="7" s="1"/>
  <c r="D19" i="4"/>
  <c r="D17" i="4"/>
  <c r="L18" i="4"/>
  <c r="L16" i="4"/>
  <c r="L20" i="4"/>
  <c r="O15" i="4"/>
  <c r="L15" i="4"/>
  <c r="L14" i="4"/>
  <c r="E18" i="4"/>
  <c r="M18" i="4" s="1"/>
  <c r="O18" i="4" s="1"/>
  <c r="E21" i="4"/>
  <c r="M21" i="4" s="1"/>
  <c r="E17" i="4"/>
  <c r="N17" i="4" s="1"/>
  <c r="P17" i="4" s="1"/>
  <c r="E20" i="4"/>
  <c r="M20" i="4" s="1"/>
  <c r="O20" i="4" s="1"/>
  <c r="E10" i="4"/>
  <c r="N10" i="4" s="1"/>
  <c r="P10" i="4" s="1"/>
  <c r="E16" i="4"/>
  <c r="M16" i="4" s="1"/>
  <c r="O16" i="4" s="1"/>
  <c r="E12" i="4"/>
  <c r="M12" i="4" s="1"/>
  <c r="O12" i="4" s="1"/>
  <c r="E11" i="4"/>
  <c r="M11" i="4" s="1"/>
  <c r="O11" i="4" s="1"/>
  <c r="E14" i="4"/>
  <c r="M14" i="4" s="1"/>
  <c r="O14" i="4" s="1"/>
  <c r="E19" i="4"/>
  <c r="N19" i="4" s="1"/>
  <c r="P19" i="4" s="1"/>
  <c r="N15" i="4"/>
  <c r="P15" i="4" s="1"/>
  <c r="L10" i="4"/>
  <c r="K6" i="3"/>
  <c r="J6" i="3"/>
  <c r="I36" i="2"/>
  <c r="I29" i="2"/>
  <c r="H29" i="2"/>
  <c r="H42" i="3"/>
  <c r="H30" i="3"/>
  <c r="H23" i="3"/>
  <c r="K23" i="3" s="1"/>
  <c r="L23" i="3" s="1"/>
  <c r="H22" i="3"/>
  <c r="K22" i="3" s="1"/>
  <c r="L22" i="3" s="1"/>
  <c r="H21" i="3"/>
  <c r="K21" i="3" s="1"/>
  <c r="L21" i="3" s="1"/>
  <c r="H20" i="3"/>
  <c r="K20" i="3" s="1"/>
  <c r="L20" i="3" s="1"/>
  <c r="H19" i="3"/>
  <c r="K19" i="3" s="1"/>
  <c r="L19" i="3" s="1"/>
  <c r="L16" i="1"/>
  <c r="L15" i="1"/>
  <c r="L14" i="1"/>
  <c r="L13" i="1"/>
  <c r="L12" i="1"/>
  <c r="L11" i="1"/>
  <c r="L10" i="1"/>
  <c r="L9" i="1"/>
  <c r="L8" i="1"/>
  <c r="L7" i="1"/>
  <c r="L6" i="1"/>
  <c r="J16" i="1"/>
  <c r="J15" i="1"/>
  <c r="J14" i="1"/>
  <c r="J13" i="1"/>
  <c r="J12" i="1"/>
  <c r="J11" i="1"/>
  <c r="J10" i="1"/>
  <c r="J9" i="1"/>
  <c r="J8" i="1"/>
  <c r="J7" i="1"/>
  <c r="J6" i="1"/>
  <c r="K14" i="3"/>
  <c r="L14" i="3" s="1"/>
  <c r="K15" i="3"/>
  <c r="L15" i="3" s="1"/>
  <c r="K16" i="3"/>
  <c r="L16" i="3" s="1"/>
  <c r="K17" i="3"/>
  <c r="L17" i="3" s="1"/>
  <c r="K18" i="3"/>
  <c r="L18" i="3" s="1"/>
  <c r="K13" i="3"/>
  <c r="L13" i="3" s="1"/>
  <c r="K17" i="1"/>
  <c r="H17" i="1"/>
  <c r="M13" i="1" s="1"/>
  <c r="C16" i="1"/>
  <c r="C15" i="1"/>
  <c r="C14" i="1"/>
  <c r="C13" i="1"/>
  <c r="C12" i="1"/>
  <c r="C11" i="1"/>
  <c r="C10" i="1"/>
  <c r="C9" i="1"/>
  <c r="C8" i="1"/>
  <c r="C7" i="1"/>
  <c r="N28" i="6" l="1"/>
  <c r="P28" i="6" s="1"/>
  <c r="M28" i="6"/>
  <c r="O28" i="6" s="1"/>
  <c r="Q28" i="6" s="1"/>
  <c r="K31" i="7"/>
  <c r="L31" i="7" s="1"/>
  <c r="N31" i="7" s="1"/>
  <c r="M25" i="6"/>
  <c r="O25" i="6" s="1"/>
  <c r="N25" i="6"/>
  <c r="P25" i="6" s="1"/>
  <c r="K30" i="7"/>
  <c r="M30" i="7" s="1"/>
  <c r="O30" i="7" s="1"/>
  <c r="N34" i="4"/>
  <c r="P34" i="4" s="1"/>
  <c r="M34" i="4"/>
  <c r="O34" i="4" s="1"/>
  <c r="Q34" i="4" s="1"/>
  <c r="N38" i="4"/>
  <c r="P38" i="4" s="1"/>
  <c r="M38" i="4"/>
  <c r="O38" i="4" s="1"/>
  <c r="G27" i="6"/>
  <c r="I27" i="6" s="1"/>
  <c r="G31" i="6"/>
  <c r="I31" i="6" s="1"/>
  <c r="G24" i="6"/>
  <c r="I24" i="6" s="1"/>
  <c r="G32" i="6"/>
  <c r="I32" i="6" s="1"/>
  <c r="G34" i="6"/>
  <c r="I34" i="6" s="1"/>
  <c r="G22" i="4"/>
  <c r="I22" i="4" s="1"/>
  <c r="G27" i="4"/>
  <c r="I27" i="4" s="1"/>
  <c r="G38" i="4"/>
  <c r="I38" i="4" s="1"/>
  <c r="G28" i="4"/>
  <c r="I28" i="4" s="1"/>
  <c r="G35" i="4"/>
  <c r="I35" i="4" s="1"/>
  <c r="G26" i="4"/>
  <c r="I26" i="4" s="1"/>
  <c r="G33" i="4"/>
  <c r="I33" i="4" s="1"/>
  <c r="G31" i="4"/>
  <c r="I31" i="4" s="1"/>
  <c r="G30" i="6"/>
  <c r="I30" i="6" s="1"/>
  <c r="G25" i="6"/>
  <c r="I25" i="6" s="1"/>
  <c r="G25" i="4"/>
  <c r="I25" i="4" s="1"/>
  <c r="G32" i="4"/>
  <c r="I32" i="4" s="1"/>
  <c r="G39" i="4"/>
  <c r="I39" i="4" s="1"/>
  <c r="G28" i="6"/>
  <c r="I28" i="6" s="1"/>
  <c r="G29" i="6"/>
  <c r="I29" i="6" s="1"/>
  <c r="G33" i="6"/>
  <c r="I33" i="6" s="1"/>
  <c r="G24" i="4"/>
  <c r="I24" i="4" s="1"/>
  <c r="G30" i="4"/>
  <c r="I30" i="4" s="1"/>
  <c r="G37" i="4"/>
  <c r="I37" i="4" s="1"/>
  <c r="G26" i="6"/>
  <c r="I26" i="6" s="1"/>
  <c r="G34" i="4"/>
  <c r="I34" i="4" s="1"/>
  <c r="G23" i="4"/>
  <c r="I23" i="4" s="1"/>
  <c r="G29" i="4"/>
  <c r="I29" i="4" s="1"/>
  <c r="G36" i="4"/>
  <c r="I36" i="4" s="1"/>
  <c r="K18" i="7"/>
  <c r="M18" i="7" s="1"/>
  <c r="O18" i="7" s="1"/>
  <c r="K27" i="7"/>
  <c r="L27" i="7" s="1"/>
  <c r="N27" i="7" s="1"/>
  <c r="K32" i="7"/>
  <c r="L32" i="7" s="1"/>
  <c r="N32" i="7" s="1"/>
  <c r="K20" i="7"/>
  <c r="L20" i="7" s="1"/>
  <c r="N20" i="7" s="1"/>
  <c r="N28" i="4"/>
  <c r="P28" i="4" s="1"/>
  <c r="M28" i="4"/>
  <c r="O28" i="4" s="1"/>
  <c r="M31" i="4"/>
  <c r="O31" i="4" s="1"/>
  <c r="N31" i="4"/>
  <c r="P31" i="4" s="1"/>
  <c r="K25" i="7"/>
  <c r="L25" i="7" s="1"/>
  <c r="N25" i="7" s="1"/>
  <c r="M27" i="6"/>
  <c r="O27" i="6" s="1"/>
  <c r="Q27" i="6" s="1"/>
  <c r="N27" i="6"/>
  <c r="P27" i="6" s="1"/>
  <c r="K29" i="7"/>
  <c r="M29" i="7" s="1"/>
  <c r="O29" i="7" s="1"/>
  <c r="L29" i="7"/>
  <c r="N29" i="7" s="1"/>
  <c r="K34" i="7"/>
  <c r="L34" i="7" s="1"/>
  <c r="N34" i="7" s="1"/>
  <c r="N36" i="4"/>
  <c r="P36" i="4" s="1"/>
  <c r="M36" i="4"/>
  <c r="O36" i="4" s="1"/>
  <c r="M24" i="4"/>
  <c r="O24" i="4" s="1"/>
  <c r="N24" i="4"/>
  <c r="P24" i="4" s="1"/>
  <c r="Q24" i="4" s="1"/>
  <c r="F28" i="6"/>
  <c r="F29" i="6"/>
  <c r="F30" i="6"/>
  <c r="H30" i="6" s="1"/>
  <c r="J30" i="6" s="1"/>
  <c r="F24" i="6"/>
  <c r="F25" i="6"/>
  <c r="F33" i="6"/>
  <c r="H33" i="6" s="1"/>
  <c r="J33" i="6" s="1"/>
  <c r="F34" i="6"/>
  <c r="H34" i="6" s="1"/>
  <c r="J34" i="6" s="1"/>
  <c r="F26" i="4"/>
  <c r="H26" i="4" s="1"/>
  <c r="J26" i="4" s="1"/>
  <c r="F33" i="4"/>
  <c r="H33" i="4" s="1"/>
  <c r="J33" i="4" s="1"/>
  <c r="F25" i="4"/>
  <c r="H25" i="4" s="1"/>
  <c r="J25" i="4" s="1"/>
  <c r="F32" i="4"/>
  <c r="H32" i="4" s="1"/>
  <c r="J32" i="4" s="1"/>
  <c r="F39" i="4"/>
  <c r="H39" i="4" s="1"/>
  <c r="J39" i="4" s="1"/>
  <c r="F27" i="6"/>
  <c r="F24" i="4"/>
  <c r="H24" i="4" s="1"/>
  <c r="J24" i="4" s="1"/>
  <c r="F31" i="4"/>
  <c r="H31" i="4" s="1"/>
  <c r="J31" i="4" s="1"/>
  <c r="F38" i="4"/>
  <c r="J38" i="4" s="1"/>
  <c r="F31" i="6"/>
  <c r="H31" i="6" s="1"/>
  <c r="J31" i="6" s="1"/>
  <c r="F27" i="4"/>
  <c r="H27" i="4" s="1"/>
  <c r="J27" i="4" s="1"/>
  <c r="F30" i="4"/>
  <c r="H30" i="4" s="1"/>
  <c r="J30" i="4" s="1"/>
  <c r="F37" i="4"/>
  <c r="H37" i="4" s="1"/>
  <c r="J37" i="4" s="1"/>
  <c r="F22" i="4"/>
  <c r="H22" i="4" s="1"/>
  <c r="J22" i="4" s="1"/>
  <c r="F23" i="4"/>
  <c r="H23" i="4" s="1"/>
  <c r="J23" i="4" s="1"/>
  <c r="F29" i="4"/>
  <c r="H29" i="4" s="1"/>
  <c r="J29" i="4" s="1"/>
  <c r="F36" i="4"/>
  <c r="J36" i="4" s="1"/>
  <c r="F26" i="6"/>
  <c r="F28" i="4"/>
  <c r="H28" i="4" s="1"/>
  <c r="J28" i="4" s="1"/>
  <c r="F34" i="4"/>
  <c r="H34" i="4" s="1"/>
  <c r="J34" i="4" s="1"/>
  <c r="F35" i="4"/>
  <c r="H35" i="4" s="1"/>
  <c r="J35" i="4" s="1"/>
  <c r="F32" i="6"/>
  <c r="H32" i="6" s="1"/>
  <c r="J32" i="6" s="1"/>
  <c r="F18" i="7"/>
  <c r="F31" i="7"/>
  <c r="H31" i="7" s="1"/>
  <c r="F17" i="7"/>
  <c r="F27" i="7"/>
  <c r="F20" i="7"/>
  <c r="F30" i="7"/>
  <c r="F33" i="7"/>
  <c r="H33" i="7" s="1"/>
  <c r="F23" i="7"/>
  <c r="F19" i="7"/>
  <c r="F26" i="7"/>
  <c r="F29" i="7"/>
  <c r="F32" i="7"/>
  <c r="H32" i="7" s="1"/>
  <c r="F22" i="7"/>
  <c r="F34" i="7"/>
  <c r="H34" i="7" s="1"/>
  <c r="F24" i="7"/>
  <c r="F28" i="7"/>
  <c r="F35" i="7"/>
  <c r="H35" i="7" s="1"/>
  <c r="J35" i="7" s="1"/>
  <c r="F21" i="7"/>
  <c r="F25" i="7"/>
  <c r="G22" i="7"/>
  <c r="I22" i="7" s="1"/>
  <c r="G25" i="7"/>
  <c r="I25" i="7" s="1"/>
  <c r="G28" i="7"/>
  <c r="I28" i="7" s="1"/>
  <c r="G21" i="7"/>
  <c r="I21" i="7" s="1"/>
  <c r="G24" i="7"/>
  <c r="I24" i="7" s="1"/>
  <c r="G34" i="7"/>
  <c r="I34" i="7" s="1"/>
  <c r="G17" i="7"/>
  <c r="I17" i="7" s="1"/>
  <c r="G27" i="7"/>
  <c r="I27" i="7" s="1"/>
  <c r="G20" i="7"/>
  <c r="I20" i="7" s="1"/>
  <c r="G30" i="7"/>
  <c r="I30" i="7" s="1"/>
  <c r="G33" i="7"/>
  <c r="I33" i="7" s="1"/>
  <c r="G23" i="7"/>
  <c r="I23" i="7" s="1"/>
  <c r="G18" i="7"/>
  <c r="I18" i="7" s="1"/>
  <c r="G26" i="7"/>
  <c r="I26" i="7" s="1"/>
  <c r="G19" i="7"/>
  <c r="I19" i="7" s="1"/>
  <c r="G31" i="7"/>
  <c r="I31" i="7" s="1"/>
  <c r="G32" i="7"/>
  <c r="I32" i="7" s="1"/>
  <c r="G35" i="7"/>
  <c r="I35" i="7" s="1"/>
  <c r="G29" i="7"/>
  <c r="I29" i="7" s="1"/>
  <c r="K17" i="7"/>
  <c r="L17" i="7"/>
  <c r="N17" i="7" s="1"/>
  <c r="P17" i="7" s="1"/>
  <c r="M17" i="7"/>
  <c r="O17" i="7" s="1"/>
  <c r="N32" i="6"/>
  <c r="P32" i="6" s="1"/>
  <c r="M32" i="6"/>
  <c r="O32" i="6" s="1"/>
  <c r="Q32" i="6" s="1"/>
  <c r="K26" i="7"/>
  <c r="M26" i="7" s="1"/>
  <c r="O26" i="7" s="1"/>
  <c r="L26" i="7"/>
  <c r="N26" i="7" s="1"/>
  <c r="P26" i="7" s="1"/>
  <c r="K24" i="7"/>
  <c r="L24" i="7" s="1"/>
  <c r="N24" i="7" s="1"/>
  <c r="N29" i="4"/>
  <c r="P29" i="4" s="1"/>
  <c r="M29" i="4"/>
  <c r="O29" i="4" s="1"/>
  <c r="N39" i="4"/>
  <c r="P39" i="4" s="1"/>
  <c r="M39" i="4"/>
  <c r="O39" i="4" s="1"/>
  <c r="Q39" i="4" s="1"/>
  <c r="R39" i="4" s="1"/>
  <c r="S39" i="4" s="1"/>
  <c r="M23" i="8"/>
  <c r="O23" i="8" s="1"/>
  <c r="Q23" i="8" s="1"/>
  <c r="M25" i="8"/>
  <c r="O25" i="8" s="1"/>
  <c r="Q25" i="8" s="1"/>
  <c r="AC24" i="4"/>
  <c r="AE24" i="4" s="1"/>
  <c r="AG24" i="4" s="1"/>
  <c r="AX24" i="4" s="1"/>
  <c r="AC25" i="4"/>
  <c r="AE25" i="4" s="1"/>
  <c r="AG25" i="4" s="1"/>
  <c r="AX25" i="4" s="1"/>
  <c r="AC36" i="4"/>
  <c r="AE36" i="4" s="1"/>
  <c r="AG36" i="4" s="1"/>
  <c r="AX36" i="4" s="1"/>
  <c r="M12" i="8"/>
  <c r="O12" i="8" s="1"/>
  <c r="Q12" i="8" s="1"/>
  <c r="AC39" i="4"/>
  <c r="AE39" i="4" s="1"/>
  <c r="AG39" i="4" s="1"/>
  <c r="AX39" i="4" s="1"/>
  <c r="M21" i="8"/>
  <c r="O21" i="8" s="1"/>
  <c r="Q21" i="8" s="1"/>
  <c r="AC21" i="4"/>
  <c r="AC22" i="4"/>
  <c r="AE22" i="4" s="1"/>
  <c r="AG22" i="4" s="1"/>
  <c r="AX22" i="4" s="1"/>
  <c r="AC23" i="4"/>
  <c r="AE23" i="4" s="1"/>
  <c r="AG23" i="4" s="1"/>
  <c r="AX23" i="4" s="1"/>
  <c r="AC30" i="4"/>
  <c r="AE30" i="4" s="1"/>
  <c r="AG30" i="4" s="1"/>
  <c r="AX30" i="4" s="1"/>
  <c r="AC31" i="4"/>
  <c r="AE31" i="4" s="1"/>
  <c r="AG31" i="4" s="1"/>
  <c r="AX31" i="4" s="1"/>
  <c r="M13" i="8"/>
  <c r="O13" i="8" s="1"/>
  <c r="Q13" i="8" s="1"/>
  <c r="M24" i="8"/>
  <c r="O24" i="8" s="1"/>
  <c r="Q24" i="8" s="1"/>
  <c r="AC20" i="4"/>
  <c r="AE20" i="4" s="1"/>
  <c r="AG20" i="4" s="1"/>
  <c r="AX20" i="4" s="1"/>
  <c r="AC34" i="4"/>
  <c r="AE34" i="4" s="1"/>
  <c r="AG34" i="4" s="1"/>
  <c r="AX34" i="4" s="1"/>
  <c r="M14" i="8"/>
  <c r="O14" i="8" s="1"/>
  <c r="Q14" i="8" s="1"/>
  <c r="M15" i="8"/>
  <c r="O15" i="8" s="1"/>
  <c r="Q15" i="8" s="1"/>
  <c r="M16" i="8"/>
  <c r="O16" i="8" s="1"/>
  <c r="Q16" i="8" s="1"/>
  <c r="M17" i="8"/>
  <c r="O17" i="8" s="1"/>
  <c r="Q17" i="8" s="1"/>
  <c r="M18" i="8"/>
  <c r="O18" i="8" s="1"/>
  <c r="Q18" i="8" s="1"/>
  <c r="M19" i="8"/>
  <c r="O19" i="8" s="1"/>
  <c r="Q19" i="8" s="1"/>
  <c r="M20" i="8"/>
  <c r="O20" i="8" s="1"/>
  <c r="Q20" i="8" s="1"/>
  <c r="AC29" i="4"/>
  <c r="AE29" i="4" s="1"/>
  <c r="AG29" i="4" s="1"/>
  <c r="AX29" i="4" s="1"/>
  <c r="AC33" i="4"/>
  <c r="AE33" i="4" s="1"/>
  <c r="AG33" i="4" s="1"/>
  <c r="AX33" i="4" s="1"/>
  <c r="AC38" i="4"/>
  <c r="AE38" i="4" s="1"/>
  <c r="AG38" i="4" s="1"/>
  <c r="AX38" i="4" s="1"/>
  <c r="AC37" i="4"/>
  <c r="AE37" i="4" s="1"/>
  <c r="AG37" i="4" s="1"/>
  <c r="AX37" i="4" s="1"/>
  <c r="M22" i="8"/>
  <c r="O22" i="8" s="1"/>
  <c r="Q22" i="8" s="1"/>
  <c r="AC26" i="4"/>
  <c r="AE26" i="4" s="1"/>
  <c r="AG26" i="4" s="1"/>
  <c r="AX26" i="4" s="1"/>
  <c r="AC35" i="4"/>
  <c r="AE35" i="4" s="1"/>
  <c r="AG35" i="4" s="1"/>
  <c r="AX35" i="4" s="1"/>
  <c r="M11" i="8"/>
  <c r="O11" i="8" s="1"/>
  <c r="Q11" i="8" s="1"/>
  <c r="AC19" i="4"/>
  <c r="AE19" i="4" s="1"/>
  <c r="AG19" i="4" s="1"/>
  <c r="AC27" i="4"/>
  <c r="AE27" i="4" s="1"/>
  <c r="AG27" i="4" s="1"/>
  <c r="AX27" i="4" s="1"/>
  <c r="AC28" i="4"/>
  <c r="AE28" i="4" s="1"/>
  <c r="AG28" i="4" s="1"/>
  <c r="AX28" i="4" s="1"/>
  <c r="AC32" i="4"/>
  <c r="AE32" i="4" s="1"/>
  <c r="AG32" i="4" s="1"/>
  <c r="AX32" i="4" s="1"/>
  <c r="N14" i="14"/>
  <c r="P14" i="14" s="1"/>
  <c r="R14" i="14" s="1"/>
  <c r="N11" i="14"/>
  <c r="P11" i="14" s="1"/>
  <c r="R11" i="14" s="1"/>
  <c r="N15" i="14"/>
  <c r="P15" i="14" s="1"/>
  <c r="R15" i="14" s="1"/>
  <c r="N12" i="14"/>
  <c r="P12" i="14" s="1"/>
  <c r="R12" i="14" s="1"/>
  <c r="N13" i="14"/>
  <c r="P13" i="14" s="1"/>
  <c r="R13" i="14" s="1"/>
  <c r="N10" i="14"/>
  <c r="P10" i="14" s="1"/>
  <c r="R10" i="14" s="1"/>
  <c r="K22" i="7"/>
  <c r="M22" i="7" s="1"/>
  <c r="O22" i="7" s="1"/>
  <c r="M26" i="6"/>
  <c r="O26" i="6" s="1"/>
  <c r="Q26" i="6" s="1"/>
  <c r="N26" i="6"/>
  <c r="P26" i="6" s="1"/>
  <c r="K19" i="7"/>
  <c r="L19" i="7" s="1"/>
  <c r="N19" i="7" s="1"/>
  <c r="M19" i="7"/>
  <c r="O19" i="7" s="1"/>
  <c r="P19" i="7" s="1"/>
  <c r="K21" i="7"/>
  <c r="L21" i="7" s="1"/>
  <c r="N21" i="7" s="1"/>
  <c r="P21" i="7" s="1"/>
  <c r="M21" i="7"/>
  <c r="O21" i="7" s="1"/>
  <c r="M23" i="4"/>
  <c r="O23" i="4" s="1"/>
  <c r="N23" i="4"/>
  <c r="P23" i="4" s="1"/>
  <c r="Q23" i="4" s="1"/>
  <c r="R23" i="4" s="1"/>
  <c r="S23" i="4" s="1"/>
  <c r="N32" i="4"/>
  <c r="P32" i="4" s="1"/>
  <c r="M32" i="4"/>
  <c r="O32" i="4" s="1"/>
  <c r="R13" i="8"/>
  <c r="T13" i="8" s="1"/>
  <c r="V13" i="8" s="1"/>
  <c r="R24" i="8"/>
  <c r="T24" i="8" s="1"/>
  <c r="V24" i="8" s="1"/>
  <c r="R14" i="8"/>
  <c r="T14" i="8" s="1"/>
  <c r="V14" i="8" s="1"/>
  <c r="R15" i="8"/>
  <c r="T15" i="8" s="1"/>
  <c r="V15" i="8" s="1"/>
  <c r="R16" i="8"/>
  <c r="T16" i="8" s="1"/>
  <c r="V16" i="8" s="1"/>
  <c r="R17" i="8"/>
  <c r="T17" i="8" s="1"/>
  <c r="V17" i="8" s="1"/>
  <c r="R18" i="8"/>
  <c r="T18" i="8" s="1"/>
  <c r="V18" i="8" s="1"/>
  <c r="R19" i="8"/>
  <c r="T19" i="8" s="1"/>
  <c r="V19" i="8" s="1"/>
  <c r="R20" i="8"/>
  <c r="T20" i="8" s="1"/>
  <c r="V20" i="8" s="1"/>
  <c r="AH33" i="4"/>
  <c r="AJ33" i="4" s="1"/>
  <c r="AL33" i="4" s="1"/>
  <c r="R23" i="8"/>
  <c r="T23" i="8" s="1"/>
  <c r="V23" i="8" s="1"/>
  <c r="AH28" i="4"/>
  <c r="AJ28" i="4" s="1"/>
  <c r="AL28" i="4" s="1"/>
  <c r="R11" i="8"/>
  <c r="T11" i="8" s="1"/>
  <c r="V11" i="8" s="1"/>
  <c r="R25" i="8"/>
  <c r="T25" i="8" s="1"/>
  <c r="V25" i="8" s="1"/>
  <c r="AH24" i="4"/>
  <c r="AJ24" i="4" s="1"/>
  <c r="AL24" i="4" s="1"/>
  <c r="AH27" i="4"/>
  <c r="AJ27" i="4" s="1"/>
  <c r="AL27" i="4" s="1"/>
  <c r="R22" i="8"/>
  <c r="T22" i="8" s="1"/>
  <c r="V22" i="8" s="1"/>
  <c r="AH25" i="4"/>
  <c r="AJ25" i="4" s="1"/>
  <c r="AL25" i="4" s="1"/>
  <c r="AH26" i="4"/>
  <c r="AJ26" i="4" s="1"/>
  <c r="AL26" i="4" s="1"/>
  <c r="AH35" i="4"/>
  <c r="AJ35" i="4" s="1"/>
  <c r="AL35" i="4" s="1"/>
  <c r="AH36" i="4"/>
  <c r="AJ36" i="4" s="1"/>
  <c r="AL36" i="4" s="1"/>
  <c r="R12" i="8"/>
  <c r="T12" i="8" s="1"/>
  <c r="V12" i="8" s="1"/>
  <c r="AH23" i="4"/>
  <c r="AJ23" i="4" s="1"/>
  <c r="AL23" i="4" s="1"/>
  <c r="AH31" i="4"/>
  <c r="AJ31" i="4" s="1"/>
  <c r="AL31" i="4" s="1"/>
  <c r="AH39" i="4"/>
  <c r="AJ39" i="4" s="1"/>
  <c r="AL39" i="4" s="1"/>
  <c r="AH21" i="4"/>
  <c r="AH22" i="4"/>
  <c r="AJ22" i="4" s="1"/>
  <c r="AL22" i="4" s="1"/>
  <c r="AH32" i="4"/>
  <c r="AJ32" i="4" s="1"/>
  <c r="AL32" i="4" s="1"/>
  <c r="AH29" i="4"/>
  <c r="AJ29" i="4" s="1"/>
  <c r="AL29" i="4" s="1"/>
  <c r="AH30" i="4"/>
  <c r="AJ30" i="4" s="1"/>
  <c r="AL30" i="4" s="1"/>
  <c r="AH34" i="4"/>
  <c r="AJ34" i="4" s="1"/>
  <c r="AL34" i="4" s="1"/>
  <c r="AH38" i="4"/>
  <c r="AJ38" i="4" s="1"/>
  <c r="AL38" i="4" s="1"/>
  <c r="R21" i="8"/>
  <c r="T21" i="8" s="1"/>
  <c r="V21" i="8" s="1"/>
  <c r="AH20" i="4"/>
  <c r="AJ20" i="4" s="1"/>
  <c r="AL20" i="4" s="1"/>
  <c r="AH37" i="4"/>
  <c r="AJ37" i="4" s="1"/>
  <c r="AL37" i="4" s="1"/>
  <c r="AH19" i="4"/>
  <c r="AJ19" i="4" s="1"/>
  <c r="AL19" i="4" s="1"/>
  <c r="S15" i="14"/>
  <c r="U15" i="14" s="1"/>
  <c r="W15" i="14" s="1"/>
  <c r="S12" i="14"/>
  <c r="U12" i="14" s="1"/>
  <c r="W12" i="14" s="1"/>
  <c r="S10" i="14"/>
  <c r="U10" i="14" s="1"/>
  <c r="W10" i="14" s="1"/>
  <c r="S11" i="14"/>
  <c r="U11" i="14" s="1"/>
  <c r="W11" i="14" s="1"/>
  <c r="S13" i="14"/>
  <c r="U13" i="14" s="1"/>
  <c r="W13" i="14" s="1"/>
  <c r="S14" i="14"/>
  <c r="U14" i="14" s="1"/>
  <c r="W14" i="14" s="1"/>
  <c r="K28" i="7"/>
  <c r="L28" i="7" s="1"/>
  <c r="N28" i="7" s="1"/>
  <c r="M28" i="7"/>
  <c r="O28" i="7" s="1"/>
  <c r="P28" i="7" s="1"/>
  <c r="K35" i="7"/>
  <c r="L35" i="7" s="1"/>
  <c r="N35" i="7" s="1"/>
  <c r="M35" i="7"/>
  <c r="O35" i="7" s="1"/>
  <c r="P35" i="7" s="1"/>
  <c r="Q35" i="7" s="1"/>
  <c r="R35" i="7" s="1"/>
  <c r="K23" i="7"/>
  <c r="L23" i="7" s="1"/>
  <c r="N23" i="7" s="1"/>
  <c r="N27" i="4"/>
  <c r="P27" i="4" s="1"/>
  <c r="M27" i="4"/>
  <c r="O27" i="4" s="1"/>
  <c r="N30" i="4"/>
  <c r="P30" i="4" s="1"/>
  <c r="M30" i="4"/>
  <c r="O30" i="4" s="1"/>
  <c r="Q30" i="4" s="1"/>
  <c r="N25" i="4"/>
  <c r="P25" i="4" s="1"/>
  <c r="M25" i="4"/>
  <c r="O25" i="4" s="1"/>
  <c r="Q25" i="4" s="1"/>
  <c r="R25" i="4" s="1"/>
  <c r="S25" i="4" s="1"/>
  <c r="F14" i="8"/>
  <c r="H14" i="8" s="1"/>
  <c r="F15" i="8"/>
  <c r="H15" i="8" s="1"/>
  <c r="F16" i="8"/>
  <c r="H16" i="8" s="1"/>
  <c r="F17" i="8"/>
  <c r="H17" i="8" s="1"/>
  <c r="F18" i="8"/>
  <c r="H18" i="8" s="1"/>
  <c r="F19" i="8"/>
  <c r="H19" i="8" s="1"/>
  <c r="F20" i="8"/>
  <c r="H20" i="8" s="1"/>
  <c r="F24" i="8"/>
  <c r="H24" i="8" s="1"/>
  <c r="V22" i="4"/>
  <c r="X22" i="4" s="1"/>
  <c r="V28" i="4"/>
  <c r="X28" i="4" s="1"/>
  <c r="V30" i="4"/>
  <c r="X30" i="4" s="1"/>
  <c r="V31" i="4"/>
  <c r="X31" i="4" s="1"/>
  <c r="V34" i="4"/>
  <c r="X34" i="4" s="1"/>
  <c r="F23" i="8"/>
  <c r="H23" i="8" s="1"/>
  <c r="V24" i="4"/>
  <c r="X24" i="4" s="1"/>
  <c r="V32" i="4"/>
  <c r="X32" i="4" s="1"/>
  <c r="V37" i="4"/>
  <c r="X37" i="4" s="1"/>
  <c r="F11" i="8"/>
  <c r="H11" i="8" s="1"/>
  <c r="F22" i="8"/>
  <c r="H22" i="8" s="1"/>
  <c r="F25" i="8"/>
  <c r="H25" i="8" s="1"/>
  <c r="V19" i="4"/>
  <c r="X19" i="4" s="1"/>
  <c r="V35" i="4"/>
  <c r="X35" i="4" s="1"/>
  <c r="F12" i="8"/>
  <c r="H12" i="8" s="1"/>
  <c r="V25" i="4"/>
  <c r="X25" i="4" s="1"/>
  <c r="V27" i="4"/>
  <c r="X27" i="4" s="1"/>
  <c r="V36" i="4"/>
  <c r="X36" i="4" s="1"/>
  <c r="V39" i="4"/>
  <c r="X39" i="4" s="1"/>
  <c r="V26" i="4"/>
  <c r="X26" i="4" s="1"/>
  <c r="F13" i="8"/>
  <c r="H13" i="8" s="1"/>
  <c r="V20" i="4"/>
  <c r="X20" i="4" s="1"/>
  <c r="V38" i="4"/>
  <c r="X38" i="4" s="1"/>
  <c r="V21" i="4"/>
  <c r="F21" i="8"/>
  <c r="H21" i="8" s="1"/>
  <c r="V23" i="4"/>
  <c r="X23" i="4" s="1"/>
  <c r="V33" i="4"/>
  <c r="X33" i="4" s="1"/>
  <c r="V29" i="4"/>
  <c r="X29" i="4" s="1"/>
  <c r="G10" i="14"/>
  <c r="I10" i="14" s="1"/>
  <c r="G12" i="14"/>
  <c r="I12" i="14" s="1"/>
  <c r="G13" i="14"/>
  <c r="I13" i="14" s="1"/>
  <c r="G14" i="14"/>
  <c r="I14" i="14" s="1"/>
  <c r="G11" i="14"/>
  <c r="I11" i="14" s="1"/>
  <c r="G15" i="14"/>
  <c r="I15" i="14" s="1"/>
  <c r="M31" i="6"/>
  <c r="O31" i="6" s="1"/>
  <c r="N31" i="6"/>
  <c r="P31" i="6" s="1"/>
  <c r="M34" i="6"/>
  <c r="O34" i="6" s="1"/>
  <c r="N34" i="6"/>
  <c r="P34" i="6" s="1"/>
  <c r="Q34" i="6" s="1"/>
  <c r="R34" i="6" s="1"/>
  <c r="S34" i="6" s="1"/>
  <c r="N24" i="6"/>
  <c r="P24" i="6" s="1"/>
  <c r="M24" i="6"/>
  <c r="O24" i="6" s="1"/>
  <c r="Q24" i="6" s="1"/>
  <c r="M26" i="4"/>
  <c r="O26" i="4" s="1"/>
  <c r="Q26" i="4" s="1"/>
  <c r="R26" i="4" s="1"/>
  <c r="S26" i="4" s="1"/>
  <c r="N26" i="4"/>
  <c r="P26" i="4" s="1"/>
  <c r="M33" i="4"/>
  <c r="O33" i="4" s="1"/>
  <c r="N33" i="4"/>
  <c r="P33" i="4" s="1"/>
  <c r="M22" i="4"/>
  <c r="O22" i="4" s="1"/>
  <c r="N22" i="4"/>
  <c r="P22" i="4" s="1"/>
  <c r="AH12" i="14"/>
  <c r="AJ12" i="14" s="1"/>
  <c r="AH10" i="14"/>
  <c r="AJ10" i="14" s="1"/>
  <c r="AH13" i="14"/>
  <c r="AJ13" i="14" s="1"/>
  <c r="AH14" i="14"/>
  <c r="AJ14" i="14" s="1"/>
  <c r="AH11" i="14"/>
  <c r="AJ11" i="14" s="1"/>
  <c r="AH15" i="14"/>
  <c r="AJ15" i="14" s="1"/>
  <c r="M30" i="6"/>
  <c r="O30" i="6" s="1"/>
  <c r="N30" i="6"/>
  <c r="P30" i="6" s="1"/>
  <c r="Q30" i="6" s="1"/>
  <c r="R30" i="6" s="1"/>
  <c r="S30" i="6" s="1"/>
  <c r="N29" i="6"/>
  <c r="P29" i="6" s="1"/>
  <c r="M29" i="6"/>
  <c r="O29" i="6" s="1"/>
  <c r="Q29" i="6" s="1"/>
  <c r="N33" i="6"/>
  <c r="P33" i="6" s="1"/>
  <c r="M33" i="6"/>
  <c r="O33" i="6" s="1"/>
  <c r="K33" i="7"/>
  <c r="M33" i="7" s="1"/>
  <c r="O33" i="7" s="1"/>
  <c r="M35" i="4"/>
  <c r="O35" i="4" s="1"/>
  <c r="Q35" i="4" s="1"/>
  <c r="R35" i="4" s="1"/>
  <c r="S35" i="4" s="1"/>
  <c r="N35" i="4"/>
  <c r="P35" i="4" s="1"/>
  <c r="M37" i="4"/>
  <c r="O37" i="4" s="1"/>
  <c r="N37" i="4"/>
  <c r="P37" i="4" s="1"/>
  <c r="N13" i="4"/>
  <c r="P13" i="4" s="1"/>
  <c r="Q13" i="4" s="1"/>
  <c r="M12" i="7"/>
  <c r="O12" i="7" s="1"/>
  <c r="P12" i="7" s="1"/>
  <c r="M10" i="7"/>
  <c r="O10" i="7" s="1"/>
  <c r="P10" i="7" s="1"/>
  <c r="E15" i="13"/>
  <c r="G15" i="13" s="1"/>
  <c r="D15" i="13"/>
  <c r="F15" i="13" s="1"/>
  <c r="D22" i="13"/>
  <c r="F22" i="13" s="1"/>
  <c r="E22" i="13"/>
  <c r="G22" i="13" s="1"/>
  <c r="D28" i="13"/>
  <c r="F28" i="13" s="1"/>
  <c r="E28" i="13"/>
  <c r="G28" i="13" s="1"/>
  <c r="D6" i="13"/>
  <c r="F6" i="13" s="1"/>
  <c r="E6" i="13"/>
  <c r="G6" i="13" s="1"/>
  <c r="E5" i="13"/>
  <c r="G5" i="13" s="1"/>
  <c r="D5" i="13"/>
  <c r="F5" i="13" s="1"/>
  <c r="D20" i="13"/>
  <c r="F20" i="13" s="1"/>
  <c r="E20" i="13"/>
  <c r="G20" i="13" s="1"/>
  <c r="D31" i="13"/>
  <c r="F31" i="13" s="1"/>
  <c r="E31" i="13"/>
  <c r="G31" i="13" s="1"/>
  <c r="E14" i="13"/>
  <c r="G14" i="13" s="1"/>
  <c r="D14" i="13"/>
  <c r="F14" i="13" s="1"/>
  <c r="D34" i="13"/>
  <c r="F34" i="13" s="1"/>
  <c r="E34" i="13"/>
  <c r="G34" i="13" s="1"/>
  <c r="D26" i="13"/>
  <c r="F26" i="13" s="1"/>
  <c r="E26" i="13"/>
  <c r="G26" i="13" s="1"/>
  <c r="E17" i="13"/>
  <c r="G17" i="13" s="1"/>
  <c r="D17" i="13"/>
  <c r="F17" i="13" s="1"/>
  <c r="E16" i="13"/>
  <c r="G16" i="13" s="1"/>
  <c r="D16" i="13"/>
  <c r="F16" i="13" s="1"/>
  <c r="E23" i="13"/>
  <c r="G23" i="13" s="1"/>
  <c r="D23" i="13"/>
  <c r="F23" i="13" s="1"/>
  <c r="D29" i="13"/>
  <c r="F29" i="13" s="1"/>
  <c r="E29" i="13"/>
  <c r="G29" i="13" s="1"/>
  <c r="E7" i="13"/>
  <c r="G7" i="13" s="1"/>
  <c r="D7" i="13"/>
  <c r="F7" i="13" s="1"/>
  <c r="E10" i="13"/>
  <c r="G10" i="13" s="1"/>
  <c r="D10" i="13"/>
  <c r="F10" i="13" s="1"/>
  <c r="D32" i="13"/>
  <c r="F32" i="13" s="1"/>
  <c r="E32" i="13"/>
  <c r="G32" i="13" s="1"/>
  <c r="E11" i="13"/>
  <c r="G11" i="13" s="1"/>
  <c r="D11" i="13"/>
  <c r="F11" i="13" s="1"/>
  <c r="E13" i="13"/>
  <c r="G13" i="13" s="1"/>
  <c r="D13" i="13"/>
  <c r="F13" i="13" s="1"/>
  <c r="E12" i="13"/>
  <c r="G12" i="13" s="1"/>
  <c r="D12" i="13"/>
  <c r="F12" i="13" s="1"/>
  <c r="D21" i="13"/>
  <c r="F21" i="13" s="1"/>
  <c r="E21" i="13"/>
  <c r="G21" i="13" s="1"/>
  <c r="D27" i="13"/>
  <c r="F27" i="13" s="1"/>
  <c r="E27" i="13"/>
  <c r="G27" i="13" s="1"/>
  <c r="E19" i="13"/>
  <c r="G19" i="13" s="1"/>
  <c r="D19" i="13"/>
  <c r="F19" i="13" s="1"/>
  <c r="D24" i="13"/>
  <c r="F24" i="13" s="1"/>
  <c r="E24" i="13"/>
  <c r="G24" i="13" s="1"/>
  <c r="D30" i="13"/>
  <c r="F30" i="13" s="1"/>
  <c r="E30" i="13"/>
  <c r="G30" i="13" s="1"/>
  <c r="E18" i="13"/>
  <c r="G18" i="13" s="1"/>
  <c r="D18" i="13"/>
  <c r="F18" i="13" s="1"/>
  <c r="D9" i="13"/>
  <c r="F9" i="13" s="1"/>
  <c r="E9" i="13"/>
  <c r="G9" i="13" s="1"/>
  <c r="E8" i="13"/>
  <c r="G8" i="13" s="1"/>
  <c r="D8" i="13"/>
  <c r="F8" i="13" s="1"/>
  <c r="D33" i="13"/>
  <c r="F33" i="13" s="1"/>
  <c r="E33" i="13"/>
  <c r="G33" i="13" s="1"/>
  <c r="D25" i="13"/>
  <c r="F25" i="13" s="1"/>
  <c r="E25" i="13"/>
  <c r="G25" i="13" s="1"/>
  <c r="N21" i="4"/>
  <c r="P21" i="4" s="1"/>
  <c r="L13" i="7"/>
  <c r="N13" i="7" s="1"/>
  <c r="P13" i="7" s="1"/>
  <c r="L16" i="7"/>
  <c r="N16" i="7" s="1"/>
  <c r="P16" i="7" s="1"/>
  <c r="L15" i="7"/>
  <c r="N15" i="7" s="1"/>
  <c r="P15" i="7" s="1"/>
  <c r="M14" i="7"/>
  <c r="O14" i="7" s="1"/>
  <c r="P14" i="7" s="1"/>
  <c r="G12" i="12"/>
  <c r="I12" i="12" s="1"/>
  <c r="G10" i="12"/>
  <c r="I10" i="12" s="1"/>
  <c r="G13" i="12"/>
  <c r="I13" i="12" s="1"/>
  <c r="G11" i="12"/>
  <c r="I11" i="12" s="1"/>
  <c r="G12" i="7"/>
  <c r="I12" i="7" s="1"/>
  <c r="G10" i="7"/>
  <c r="I10" i="7" s="1"/>
  <c r="G13" i="7"/>
  <c r="I13" i="7" s="1"/>
  <c r="G14" i="7"/>
  <c r="I14" i="7" s="1"/>
  <c r="G15" i="7"/>
  <c r="I15" i="7" s="1"/>
  <c r="G16" i="7"/>
  <c r="I16" i="7" s="1"/>
  <c r="G11" i="7"/>
  <c r="I11" i="7" s="1"/>
  <c r="N10" i="11"/>
  <c r="P10" i="11" s="1"/>
  <c r="M10" i="11"/>
  <c r="O10" i="11" s="1"/>
  <c r="N15" i="6"/>
  <c r="P15" i="6" s="1"/>
  <c r="M15" i="6"/>
  <c r="O15" i="6" s="1"/>
  <c r="M13" i="6"/>
  <c r="O13" i="6" s="1"/>
  <c r="N13" i="6"/>
  <c r="P13" i="6" s="1"/>
  <c r="K10" i="12"/>
  <c r="L10" i="12" s="1"/>
  <c r="N10" i="12" s="1"/>
  <c r="N13" i="9"/>
  <c r="P13" i="9" s="1"/>
  <c r="M13" i="9"/>
  <c r="O13" i="9" s="1"/>
  <c r="N18" i="5"/>
  <c r="P18" i="5" s="1"/>
  <c r="M18" i="5"/>
  <c r="M11" i="11"/>
  <c r="O11" i="11" s="1"/>
  <c r="N11" i="11"/>
  <c r="P11" i="11" s="1"/>
  <c r="M20" i="11"/>
  <c r="O20" i="11" s="1"/>
  <c r="N20" i="11"/>
  <c r="P20" i="11" s="1"/>
  <c r="N19" i="6"/>
  <c r="P19" i="6" s="1"/>
  <c r="M19" i="6"/>
  <c r="O19" i="6" s="1"/>
  <c r="K12" i="12"/>
  <c r="L12" i="12" s="1"/>
  <c r="N12" i="12" s="1"/>
  <c r="M17" i="1"/>
  <c r="M6" i="1"/>
  <c r="M10" i="1"/>
  <c r="M14" i="1"/>
  <c r="M11" i="5"/>
  <c r="N11" i="5"/>
  <c r="P11" i="5" s="1"/>
  <c r="N19" i="11"/>
  <c r="P19" i="11" s="1"/>
  <c r="M19" i="11"/>
  <c r="O19" i="11" s="1"/>
  <c r="N14" i="6"/>
  <c r="P14" i="6" s="1"/>
  <c r="M14" i="6"/>
  <c r="O14" i="6" s="1"/>
  <c r="M7" i="1"/>
  <c r="M11" i="1"/>
  <c r="M15" i="1"/>
  <c r="M11" i="9"/>
  <c r="O11" i="9" s="1"/>
  <c r="N11" i="9"/>
  <c r="P11" i="9" s="1"/>
  <c r="N17" i="5"/>
  <c r="P17" i="5" s="1"/>
  <c r="M17" i="5"/>
  <c r="M13" i="11"/>
  <c r="O13" i="11" s="1"/>
  <c r="N13" i="11"/>
  <c r="P13" i="11" s="1"/>
  <c r="N21" i="11"/>
  <c r="P21" i="11" s="1"/>
  <c r="M21" i="11"/>
  <c r="O21" i="11" s="1"/>
  <c r="M11" i="6"/>
  <c r="O11" i="6" s="1"/>
  <c r="N11" i="6"/>
  <c r="P11" i="6" s="1"/>
  <c r="N18" i="6"/>
  <c r="P18" i="6" s="1"/>
  <c r="M18" i="6"/>
  <c r="O18" i="6" s="1"/>
  <c r="M17" i="6"/>
  <c r="O17" i="6" s="1"/>
  <c r="N17" i="6"/>
  <c r="P17" i="6" s="1"/>
  <c r="M13" i="10"/>
  <c r="O13" i="10" s="1"/>
  <c r="N13" i="10"/>
  <c r="P13" i="10" s="1"/>
  <c r="M15" i="9"/>
  <c r="O15" i="9" s="1"/>
  <c r="N15" i="9"/>
  <c r="P15" i="9" s="1"/>
  <c r="M14" i="5"/>
  <c r="N14" i="5"/>
  <c r="P14" i="5" s="1"/>
  <c r="N16" i="5"/>
  <c r="P16" i="5" s="1"/>
  <c r="M16" i="5"/>
  <c r="M22" i="11"/>
  <c r="O22" i="11" s="1"/>
  <c r="N22" i="11"/>
  <c r="P22" i="11" s="1"/>
  <c r="M15" i="11"/>
  <c r="O15" i="11" s="1"/>
  <c r="N15" i="11"/>
  <c r="P15" i="11" s="1"/>
  <c r="N10" i="10"/>
  <c r="P10" i="10" s="1"/>
  <c r="M10" i="10"/>
  <c r="O10" i="10" s="1"/>
  <c r="C10" i="10"/>
  <c r="D10" i="10" s="1"/>
  <c r="C12" i="10"/>
  <c r="D12" i="10" s="1"/>
  <c r="C13" i="12"/>
  <c r="D13" i="12" s="1"/>
  <c r="C11" i="12"/>
  <c r="D11" i="12" s="1"/>
  <c r="C11" i="10"/>
  <c r="D11" i="10" s="1"/>
  <c r="C12" i="12"/>
  <c r="D12" i="12" s="1"/>
  <c r="C10" i="12"/>
  <c r="D10" i="12" s="1"/>
  <c r="C13" i="10"/>
  <c r="D13" i="10" s="1"/>
  <c r="M8" i="1"/>
  <c r="M12" i="1"/>
  <c r="M16" i="1"/>
  <c r="F14" i="9"/>
  <c r="H14" i="9" s="1"/>
  <c r="F15" i="11"/>
  <c r="H15" i="11" s="1"/>
  <c r="F12" i="11"/>
  <c r="H12" i="11" s="1"/>
  <c r="F13" i="10"/>
  <c r="F13" i="11"/>
  <c r="H13" i="11" s="1"/>
  <c r="F10" i="11"/>
  <c r="H10" i="11" s="1"/>
  <c r="F15" i="9"/>
  <c r="H15" i="9" s="1"/>
  <c r="F14" i="11"/>
  <c r="H14" i="11" s="1"/>
  <c r="F10" i="9"/>
  <c r="H10" i="9" s="1"/>
  <c r="F12" i="9"/>
  <c r="H12" i="9" s="1"/>
  <c r="F21" i="11"/>
  <c r="H21" i="11" s="1"/>
  <c r="F20" i="11"/>
  <c r="H20" i="11" s="1"/>
  <c r="F19" i="11"/>
  <c r="H19" i="11" s="1"/>
  <c r="F18" i="11"/>
  <c r="H18" i="11" s="1"/>
  <c r="F17" i="11"/>
  <c r="H17" i="11" s="1"/>
  <c r="F16" i="11"/>
  <c r="H16" i="11" s="1"/>
  <c r="F11" i="10"/>
  <c r="F10" i="10"/>
  <c r="F11" i="11"/>
  <c r="H11" i="11" s="1"/>
  <c r="F11" i="9"/>
  <c r="H11" i="9" s="1"/>
  <c r="F22" i="11"/>
  <c r="H22" i="11" s="1"/>
  <c r="F12" i="10"/>
  <c r="F13" i="9"/>
  <c r="H13" i="9" s="1"/>
  <c r="F22" i="5"/>
  <c r="F21" i="5"/>
  <c r="F20" i="5"/>
  <c r="F18" i="6"/>
  <c r="F18" i="5"/>
  <c r="F10" i="5"/>
  <c r="F21" i="6"/>
  <c r="F13" i="6"/>
  <c r="F13" i="5"/>
  <c r="F16" i="6"/>
  <c r="F11" i="6"/>
  <c r="F22" i="6"/>
  <c r="F16" i="5"/>
  <c r="F19" i="6"/>
  <c r="F14" i="6"/>
  <c r="F19" i="5"/>
  <c r="F11" i="5"/>
  <c r="F14" i="5"/>
  <c r="F17" i="6"/>
  <c r="F17" i="5"/>
  <c r="F20" i="6"/>
  <c r="F12" i="6"/>
  <c r="F15" i="5"/>
  <c r="F12" i="5"/>
  <c r="F23" i="6"/>
  <c r="F15" i="6"/>
  <c r="F10" i="6"/>
  <c r="N13" i="5"/>
  <c r="P13" i="5" s="1"/>
  <c r="M13" i="5"/>
  <c r="M15" i="5"/>
  <c r="N15" i="5"/>
  <c r="P15" i="5" s="1"/>
  <c r="N14" i="11"/>
  <c r="P14" i="11" s="1"/>
  <c r="M14" i="11"/>
  <c r="O14" i="11" s="1"/>
  <c r="N12" i="11"/>
  <c r="P12" i="11" s="1"/>
  <c r="M12" i="11"/>
  <c r="O12" i="11" s="1"/>
  <c r="M11" i="10"/>
  <c r="O11" i="10" s="1"/>
  <c r="N11" i="10"/>
  <c r="P11" i="10" s="1"/>
  <c r="M10" i="5"/>
  <c r="N10" i="5"/>
  <c r="P10" i="5" s="1"/>
  <c r="M20" i="5"/>
  <c r="N20" i="5"/>
  <c r="P20" i="5" s="1"/>
  <c r="M16" i="11"/>
  <c r="O16" i="11" s="1"/>
  <c r="N16" i="11"/>
  <c r="P16" i="11" s="1"/>
  <c r="M16" i="6"/>
  <c r="O16" i="6" s="1"/>
  <c r="N16" i="6"/>
  <c r="P16" i="6" s="1"/>
  <c r="N20" i="6"/>
  <c r="P20" i="6" s="1"/>
  <c r="M20" i="6"/>
  <c r="O20" i="6" s="1"/>
  <c r="M12" i="10"/>
  <c r="O12" i="10" s="1"/>
  <c r="N12" i="10"/>
  <c r="P12" i="10" s="1"/>
  <c r="G15" i="9"/>
  <c r="I15" i="9" s="1"/>
  <c r="G21" i="11"/>
  <c r="I21" i="11" s="1"/>
  <c r="G20" i="11"/>
  <c r="I20" i="11" s="1"/>
  <c r="G19" i="11"/>
  <c r="I19" i="11" s="1"/>
  <c r="G18" i="11"/>
  <c r="I18" i="11" s="1"/>
  <c r="G17" i="11"/>
  <c r="I17" i="11" s="1"/>
  <c r="G16" i="11"/>
  <c r="I16" i="11" s="1"/>
  <c r="G11" i="10"/>
  <c r="I11" i="10" s="1"/>
  <c r="G10" i="10"/>
  <c r="I10" i="10" s="1"/>
  <c r="G10" i="9"/>
  <c r="I10" i="9" s="1"/>
  <c r="G11" i="11"/>
  <c r="I11" i="11" s="1"/>
  <c r="G10" i="11"/>
  <c r="I10" i="11" s="1"/>
  <c r="G11" i="9"/>
  <c r="I11" i="9" s="1"/>
  <c r="G22" i="11"/>
  <c r="I22" i="11" s="1"/>
  <c r="G12" i="10"/>
  <c r="I12" i="10" s="1"/>
  <c r="G15" i="11"/>
  <c r="I15" i="11" s="1"/>
  <c r="G14" i="11"/>
  <c r="I14" i="11" s="1"/>
  <c r="G12" i="11"/>
  <c r="I12" i="11" s="1"/>
  <c r="G13" i="10"/>
  <c r="I13" i="10" s="1"/>
  <c r="G13" i="11"/>
  <c r="I13" i="11" s="1"/>
  <c r="G12" i="9"/>
  <c r="I12" i="9" s="1"/>
  <c r="G13" i="9"/>
  <c r="I13" i="9" s="1"/>
  <c r="G14" i="9"/>
  <c r="I14" i="9" s="1"/>
  <c r="G22" i="5"/>
  <c r="I22" i="5" s="1"/>
  <c r="G21" i="5"/>
  <c r="I21" i="5" s="1"/>
  <c r="G20" i="5"/>
  <c r="I20" i="5" s="1"/>
  <c r="G13" i="5"/>
  <c r="I13" i="5" s="1"/>
  <c r="G16" i="6"/>
  <c r="I16" i="6" s="1"/>
  <c r="G16" i="5"/>
  <c r="I16" i="5" s="1"/>
  <c r="G19" i="6"/>
  <c r="I19" i="6" s="1"/>
  <c r="G11" i="6"/>
  <c r="I11" i="6" s="1"/>
  <c r="G19" i="5"/>
  <c r="I19" i="5" s="1"/>
  <c r="G11" i="5"/>
  <c r="I11" i="5" s="1"/>
  <c r="G22" i="6"/>
  <c r="I22" i="6" s="1"/>
  <c r="G14" i="6"/>
  <c r="I14" i="6" s="1"/>
  <c r="G14" i="5"/>
  <c r="I14" i="5" s="1"/>
  <c r="G17" i="6"/>
  <c r="I17" i="6" s="1"/>
  <c r="G17" i="5"/>
  <c r="I17" i="5" s="1"/>
  <c r="G20" i="6"/>
  <c r="I20" i="6" s="1"/>
  <c r="G12" i="6"/>
  <c r="I12" i="6" s="1"/>
  <c r="G21" i="6"/>
  <c r="I21" i="6" s="1"/>
  <c r="G12" i="5"/>
  <c r="I12" i="5" s="1"/>
  <c r="G23" i="6"/>
  <c r="I23" i="6" s="1"/>
  <c r="G15" i="6"/>
  <c r="I15" i="6" s="1"/>
  <c r="G18" i="5"/>
  <c r="I18" i="5" s="1"/>
  <c r="G15" i="5"/>
  <c r="I15" i="5" s="1"/>
  <c r="G18" i="6"/>
  <c r="I18" i="6" s="1"/>
  <c r="G10" i="6"/>
  <c r="I10" i="6" s="1"/>
  <c r="G10" i="5"/>
  <c r="I10" i="5" s="1"/>
  <c r="G13" i="6"/>
  <c r="I13" i="6" s="1"/>
  <c r="M9" i="1"/>
  <c r="F13" i="12"/>
  <c r="F11" i="12"/>
  <c r="F12" i="12"/>
  <c r="F10" i="12"/>
  <c r="F16" i="7"/>
  <c r="F12" i="7"/>
  <c r="F13" i="7"/>
  <c r="F15" i="7"/>
  <c r="F11" i="7"/>
  <c r="F10" i="7"/>
  <c r="F14" i="7"/>
  <c r="N14" i="9"/>
  <c r="P14" i="9" s="1"/>
  <c r="M14" i="9"/>
  <c r="O14" i="9" s="1"/>
  <c r="M12" i="5"/>
  <c r="N12" i="5"/>
  <c r="P12" i="5" s="1"/>
  <c r="M22" i="5"/>
  <c r="N22" i="5"/>
  <c r="P22" i="5" s="1"/>
  <c r="N17" i="11"/>
  <c r="P17" i="11" s="1"/>
  <c r="M17" i="11"/>
  <c r="O17" i="11" s="1"/>
  <c r="K11" i="12"/>
  <c r="M11" i="12" s="1"/>
  <c r="O11" i="12" s="1"/>
  <c r="N12" i="9"/>
  <c r="P12" i="9" s="1"/>
  <c r="M12" i="9"/>
  <c r="O12" i="9" s="1"/>
  <c r="M10" i="9"/>
  <c r="O10" i="9" s="1"/>
  <c r="N10" i="9"/>
  <c r="P10" i="9" s="1"/>
  <c r="N19" i="5"/>
  <c r="P19" i="5" s="1"/>
  <c r="M19" i="5"/>
  <c r="M21" i="5"/>
  <c r="N21" i="5"/>
  <c r="P21" i="5" s="1"/>
  <c r="M18" i="11"/>
  <c r="O18" i="11" s="1"/>
  <c r="N18" i="11"/>
  <c r="P18" i="11" s="1"/>
  <c r="N23" i="6"/>
  <c r="P23" i="6" s="1"/>
  <c r="M23" i="6"/>
  <c r="O23" i="6" s="1"/>
  <c r="M22" i="6"/>
  <c r="O22" i="6" s="1"/>
  <c r="N22" i="6"/>
  <c r="P22" i="6" s="1"/>
  <c r="M21" i="6"/>
  <c r="O21" i="6" s="1"/>
  <c r="N21" i="6"/>
  <c r="P21" i="6" s="1"/>
  <c r="M10" i="6"/>
  <c r="O10" i="6" s="1"/>
  <c r="N10" i="6"/>
  <c r="P10" i="6" s="1"/>
  <c r="M12" i="6"/>
  <c r="O12" i="6" s="1"/>
  <c r="N12" i="6"/>
  <c r="P12" i="6" s="1"/>
  <c r="K13" i="12"/>
  <c r="M13" i="12" s="1"/>
  <c r="O13" i="12" s="1"/>
  <c r="AC19" i="11"/>
  <c r="AE19" i="11" s="1"/>
  <c r="AG19" i="11" s="1"/>
  <c r="AX19" i="11" s="1"/>
  <c r="AC15" i="11"/>
  <c r="AE15" i="11" s="1"/>
  <c r="AG15" i="11" s="1"/>
  <c r="AX15" i="11" s="1"/>
  <c r="AC13" i="11"/>
  <c r="AE13" i="11" s="1"/>
  <c r="AG13" i="11" s="1"/>
  <c r="AX13" i="11" s="1"/>
  <c r="AC10" i="11"/>
  <c r="AE10" i="11" s="1"/>
  <c r="AG10" i="11" s="1"/>
  <c r="AX10" i="11" s="1"/>
  <c r="AC18" i="11"/>
  <c r="AE18" i="11" s="1"/>
  <c r="AG18" i="11" s="1"/>
  <c r="AX18" i="11" s="1"/>
  <c r="AC13" i="10"/>
  <c r="AE13" i="10" s="1"/>
  <c r="AG13" i="10" s="1"/>
  <c r="AC12" i="10"/>
  <c r="AC11" i="10"/>
  <c r="AC10" i="10"/>
  <c r="AC12" i="11"/>
  <c r="AE12" i="11" s="1"/>
  <c r="AG12" i="11" s="1"/>
  <c r="AX12" i="11" s="1"/>
  <c r="AC11" i="11"/>
  <c r="AE11" i="11" s="1"/>
  <c r="AG11" i="11" s="1"/>
  <c r="AX11" i="11" s="1"/>
  <c r="AC15" i="9"/>
  <c r="AE15" i="9" s="1"/>
  <c r="AG15" i="9" s="1"/>
  <c r="AX15" i="9" s="1"/>
  <c r="AC11" i="9"/>
  <c r="AE11" i="9" s="1"/>
  <c r="AG11" i="9" s="1"/>
  <c r="AX11" i="9" s="1"/>
  <c r="AC22" i="11"/>
  <c r="AE22" i="11" s="1"/>
  <c r="AG22" i="11" s="1"/>
  <c r="AX22" i="11" s="1"/>
  <c r="AC20" i="11"/>
  <c r="AE20" i="11" s="1"/>
  <c r="AG20" i="11" s="1"/>
  <c r="AX20" i="11" s="1"/>
  <c r="AC13" i="9"/>
  <c r="AE13" i="9" s="1"/>
  <c r="AG13" i="9" s="1"/>
  <c r="AX13" i="9" s="1"/>
  <c r="AC16" i="11"/>
  <c r="AE16" i="11" s="1"/>
  <c r="AG16" i="11" s="1"/>
  <c r="AX16" i="11" s="1"/>
  <c r="AC14" i="11"/>
  <c r="AE14" i="11" s="1"/>
  <c r="AG14" i="11" s="1"/>
  <c r="AX14" i="11" s="1"/>
  <c r="AC12" i="9"/>
  <c r="AE12" i="9" s="1"/>
  <c r="AG12" i="9" s="1"/>
  <c r="AX12" i="9" s="1"/>
  <c r="AC14" i="9"/>
  <c r="AE14" i="9" s="1"/>
  <c r="AG14" i="9" s="1"/>
  <c r="AX14" i="9" s="1"/>
  <c r="AC10" i="9"/>
  <c r="AE10" i="9" s="1"/>
  <c r="AG10" i="9" s="1"/>
  <c r="AX10" i="9" s="1"/>
  <c r="AC21" i="11"/>
  <c r="AE21" i="11" s="1"/>
  <c r="AG21" i="11" s="1"/>
  <c r="AX21" i="11" s="1"/>
  <c r="AC17" i="11"/>
  <c r="AE17" i="11" s="1"/>
  <c r="AG17" i="11" s="1"/>
  <c r="AX17" i="11" s="1"/>
  <c r="AC20" i="5"/>
  <c r="AC22" i="5"/>
  <c r="AC21" i="5"/>
  <c r="M10" i="8"/>
  <c r="O10" i="8" s="1"/>
  <c r="Q10" i="8" s="1"/>
  <c r="AC31" i="6"/>
  <c r="AC30" i="6"/>
  <c r="AC29" i="6"/>
  <c r="AC28" i="6"/>
  <c r="AC27" i="6"/>
  <c r="AC26" i="6"/>
  <c r="AC25" i="6"/>
  <c r="AC24" i="6"/>
  <c r="AC23" i="6"/>
  <c r="AC22" i="6"/>
  <c r="AC21" i="6"/>
  <c r="AC20" i="6"/>
  <c r="AC19" i="6"/>
  <c r="AC18" i="6"/>
  <c r="AC17" i="6"/>
  <c r="AC16" i="6"/>
  <c r="AC15" i="6"/>
  <c r="AC14" i="6"/>
  <c r="AC13" i="6"/>
  <c r="AC12" i="6"/>
  <c r="AC11" i="6"/>
  <c r="AC10" i="6"/>
  <c r="AC19" i="5"/>
  <c r="AC18" i="5"/>
  <c r="AC17" i="5"/>
  <c r="AC16" i="5"/>
  <c r="AC15" i="5"/>
  <c r="AC14" i="5"/>
  <c r="AC13" i="5"/>
  <c r="AC12" i="5"/>
  <c r="AC11" i="5"/>
  <c r="AC10" i="5"/>
  <c r="AC32" i="6"/>
  <c r="AC33" i="6"/>
  <c r="AC34" i="6"/>
  <c r="AH12" i="11"/>
  <c r="AJ12" i="11" s="1"/>
  <c r="AL12" i="11" s="1"/>
  <c r="AH11" i="11"/>
  <c r="AJ11" i="11" s="1"/>
  <c r="AL11" i="11" s="1"/>
  <c r="AH15" i="9"/>
  <c r="AJ15" i="9" s="1"/>
  <c r="AL15" i="9" s="1"/>
  <c r="AH14" i="9"/>
  <c r="AJ14" i="9" s="1"/>
  <c r="AL14" i="9" s="1"/>
  <c r="AH13" i="9"/>
  <c r="AJ13" i="9" s="1"/>
  <c r="AL13" i="9" s="1"/>
  <c r="AH12" i="9"/>
  <c r="AJ12" i="9" s="1"/>
  <c r="AL12" i="9" s="1"/>
  <c r="AH11" i="9"/>
  <c r="AJ11" i="9" s="1"/>
  <c r="AL11" i="9" s="1"/>
  <c r="AH10" i="9"/>
  <c r="AJ10" i="9" s="1"/>
  <c r="AL10" i="9" s="1"/>
  <c r="AH22" i="11"/>
  <c r="AJ22" i="11" s="1"/>
  <c r="AL22" i="11" s="1"/>
  <c r="AH21" i="11"/>
  <c r="AJ21" i="11" s="1"/>
  <c r="AL21" i="11" s="1"/>
  <c r="AH20" i="11"/>
  <c r="AJ20" i="11" s="1"/>
  <c r="AL20" i="11" s="1"/>
  <c r="AH17" i="11"/>
  <c r="AJ17" i="11" s="1"/>
  <c r="AL17" i="11" s="1"/>
  <c r="AH16" i="11"/>
  <c r="AJ16" i="11" s="1"/>
  <c r="AL16" i="11" s="1"/>
  <c r="AH14" i="11"/>
  <c r="AJ14" i="11" s="1"/>
  <c r="AL14" i="11" s="1"/>
  <c r="AH19" i="11"/>
  <c r="AJ19" i="11" s="1"/>
  <c r="AL19" i="11" s="1"/>
  <c r="AH10" i="11"/>
  <c r="AJ10" i="11" s="1"/>
  <c r="AL10" i="11" s="1"/>
  <c r="AH15" i="11"/>
  <c r="AJ15" i="11" s="1"/>
  <c r="AL15" i="11" s="1"/>
  <c r="AH13" i="11"/>
  <c r="AJ13" i="11" s="1"/>
  <c r="AL13" i="11" s="1"/>
  <c r="AH13" i="10"/>
  <c r="AJ13" i="10" s="1"/>
  <c r="AL13" i="10" s="1"/>
  <c r="AH10" i="10"/>
  <c r="AH18" i="11"/>
  <c r="AJ18" i="11" s="1"/>
  <c r="AL18" i="11" s="1"/>
  <c r="AH12" i="10"/>
  <c r="AJ12" i="10" s="1"/>
  <c r="AL12" i="10" s="1"/>
  <c r="AH11" i="10"/>
  <c r="AH20" i="5"/>
  <c r="AH21" i="5"/>
  <c r="AH22" i="5"/>
  <c r="R10" i="8"/>
  <c r="T10" i="8" s="1"/>
  <c r="V10" i="8" s="1"/>
  <c r="AH31" i="6"/>
  <c r="AH30" i="6"/>
  <c r="AH29" i="6"/>
  <c r="AH28" i="6"/>
  <c r="AH27" i="6"/>
  <c r="AH26" i="6"/>
  <c r="AH25" i="6"/>
  <c r="AH24" i="6"/>
  <c r="AH23" i="6"/>
  <c r="AH22" i="6"/>
  <c r="AH21" i="6"/>
  <c r="AH20" i="6"/>
  <c r="AH19" i="6"/>
  <c r="AH18" i="6"/>
  <c r="AH17" i="6"/>
  <c r="AH16" i="6"/>
  <c r="AH15" i="6"/>
  <c r="AH14" i="6"/>
  <c r="AH13" i="6"/>
  <c r="AH12" i="6"/>
  <c r="AH11" i="6"/>
  <c r="AH10" i="6"/>
  <c r="AH19" i="5"/>
  <c r="AH18" i="5"/>
  <c r="AH17" i="5"/>
  <c r="AH16" i="5"/>
  <c r="AH15" i="5"/>
  <c r="AH14" i="5"/>
  <c r="AH13" i="5"/>
  <c r="AH12" i="5"/>
  <c r="AH11" i="5"/>
  <c r="AH10" i="5"/>
  <c r="AH32" i="6"/>
  <c r="AH33" i="6"/>
  <c r="AH34" i="6"/>
  <c r="V12" i="11"/>
  <c r="X12" i="11" s="1"/>
  <c r="V11" i="11"/>
  <c r="X11" i="11" s="1"/>
  <c r="V15" i="9"/>
  <c r="X15" i="9" s="1"/>
  <c r="V14" i="9"/>
  <c r="X14" i="9" s="1"/>
  <c r="V13" i="9"/>
  <c r="X13" i="9" s="1"/>
  <c r="V12" i="9"/>
  <c r="X12" i="9" s="1"/>
  <c r="V11" i="9"/>
  <c r="X11" i="9" s="1"/>
  <c r="V10" i="9"/>
  <c r="X10" i="9" s="1"/>
  <c r="V22" i="11"/>
  <c r="X22" i="11" s="1"/>
  <c r="V21" i="11"/>
  <c r="X21" i="11" s="1"/>
  <c r="V20" i="11"/>
  <c r="X20" i="11" s="1"/>
  <c r="V17" i="11"/>
  <c r="X17" i="11" s="1"/>
  <c r="V16" i="11"/>
  <c r="X16" i="11" s="1"/>
  <c r="V14" i="11"/>
  <c r="X14" i="11" s="1"/>
  <c r="V15" i="11"/>
  <c r="X15" i="11" s="1"/>
  <c r="V13" i="11"/>
  <c r="X13" i="11" s="1"/>
  <c r="V19" i="11"/>
  <c r="X19" i="11" s="1"/>
  <c r="V10" i="11"/>
  <c r="X10" i="11" s="1"/>
  <c r="V13" i="10"/>
  <c r="X13" i="10" s="1"/>
  <c r="V18" i="11"/>
  <c r="X18" i="11" s="1"/>
  <c r="V11" i="10"/>
  <c r="V12" i="10"/>
  <c r="X12" i="10" s="1"/>
  <c r="V10" i="10"/>
  <c r="V22" i="5"/>
  <c r="V20" i="5"/>
  <c r="V21" i="5"/>
  <c r="U13" i="12"/>
  <c r="U12" i="12"/>
  <c r="W12" i="12" s="1"/>
  <c r="U11" i="12"/>
  <c r="U10" i="12"/>
  <c r="W10" i="12" s="1"/>
  <c r="N16" i="4"/>
  <c r="P16" i="4" s="1"/>
  <c r="N15" i="1"/>
  <c r="C21" i="5"/>
  <c r="D21" i="5" s="1"/>
  <c r="C22" i="5"/>
  <c r="D22" i="5" s="1"/>
  <c r="C20" i="5"/>
  <c r="D20" i="5" s="1"/>
  <c r="C29" i="7"/>
  <c r="D29" i="7" s="1"/>
  <c r="H29" i="7" s="1"/>
  <c r="J29" i="7" s="1"/>
  <c r="C24" i="7"/>
  <c r="D24" i="7" s="1"/>
  <c r="H24" i="7" s="1"/>
  <c r="J24" i="7" s="1"/>
  <c r="C16" i="7"/>
  <c r="D16" i="7" s="1"/>
  <c r="C13" i="7"/>
  <c r="D13" i="7" s="1"/>
  <c r="C12" i="6"/>
  <c r="D12" i="6" s="1"/>
  <c r="C14" i="6"/>
  <c r="D14" i="6" s="1"/>
  <c r="C19" i="6"/>
  <c r="D19" i="6" s="1"/>
  <c r="C23" i="6"/>
  <c r="D23" i="6" s="1"/>
  <c r="C26" i="6"/>
  <c r="D26" i="6" s="1"/>
  <c r="L26" i="6" s="1"/>
  <c r="C14" i="5"/>
  <c r="D14" i="5" s="1"/>
  <c r="C10" i="5"/>
  <c r="D10" i="5" s="1"/>
  <c r="C30" i="7"/>
  <c r="D30" i="7" s="1"/>
  <c r="C25" i="7"/>
  <c r="D25" i="7" s="1"/>
  <c r="H25" i="7" s="1"/>
  <c r="J25" i="7" s="1"/>
  <c r="C21" i="7"/>
  <c r="D21" i="7" s="1"/>
  <c r="H21" i="7" s="1"/>
  <c r="J21" i="7" s="1"/>
  <c r="C18" i="7"/>
  <c r="D18" i="7" s="1"/>
  <c r="C17" i="7"/>
  <c r="D17" i="7" s="1"/>
  <c r="H17" i="7" s="1"/>
  <c r="J17" i="7" s="1"/>
  <c r="C15" i="6"/>
  <c r="D15" i="6" s="1"/>
  <c r="C20" i="6"/>
  <c r="D20" i="6" s="1"/>
  <c r="C24" i="6"/>
  <c r="D24" i="6" s="1"/>
  <c r="C27" i="6"/>
  <c r="D27" i="6" s="1"/>
  <c r="L27" i="6" s="1"/>
  <c r="C17" i="5"/>
  <c r="D17" i="5" s="1"/>
  <c r="C13" i="5"/>
  <c r="D13" i="5" s="1"/>
  <c r="C27" i="7"/>
  <c r="D27" i="7" s="1"/>
  <c r="C26" i="7"/>
  <c r="D26" i="7" s="1"/>
  <c r="C19" i="7"/>
  <c r="D19" i="7" s="1"/>
  <c r="C15" i="7"/>
  <c r="D15" i="7" s="1"/>
  <c r="C14" i="7"/>
  <c r="D14" i="7" s="1"/>
  <c r="C10" i="7"/>
  <c r="D10" i="7" s="1"/>
  <c r="C10" i="6"/>
  <c r="D10" i="6" s="1"/>
  <c r="C13" i="6"/>
  <c r="D13" i="6" s="1"/>
  <c r="C17" i="6"/>
  <c r="D17" i="6" s="1"/>
  <c r="C22" i="6"/>
  <c r="D22" i="6" s="1"/>
  <c r="C25" i="6"/>
  <c r="D25" i="6" s="1"/>
  <c r="L25" i="6" s="1"/>
  <c r="C28" i="6"/>
  <c r="D28" i="6" s="1"/>
  <c r="L28" i="6" s="1"/>
  <c r="C19" i="5"/>
  <c r="D19" i="5" s="1"/>
  <c r="C16" i="5"/>
  <c r="D16" i="5" s="1"/>
  <c r="C12" i="5"/>
  <c r="D12" i="5" s="1"/>
  <c r="C28" i="7"/>
  <c r="D28" i="7" s="1"/>
  <c r="H28" i="7" s="1"/>
  <c r="J28" i="7" s="1"/>
  <c r="C23" i="7"/>
  <c r="D23" i="7" s="1"/>
  <c r="C22" i="7"/>
  <c r="D22" i="7" s="1"/>
  <c r="C20" i="7"/>
  <c r="D20" i="7" s="1"/>
  <c r="H20" i="7" s="1"/>
  <c r="J20" i="7" s="1"/>
  <c r="C12" i="7"/>
  <c r="D12" i="7" s="1"/>
  <c r="C11" i="7"/>
  <c r="D11" i="7" s="1"/>
  <c r="C11" i="6"/>
  <c r="D11" i="6" s="1"/>
  <c r="C16" i="6"/>
  <c r="D16" i="6" s="1"/>
  <c r="C18" i="6"/>
  <c r="D18" i="6" s="1"/>
  <c r="C21" i="6"/>
  <c r="D21" i="6" s="1"/>
  <c r="C29" i="6"/>
  <c r="D29" i="6" s="1"/>
  <c r="L29" i="6" s="1"/>
  <c r="C18" i="5"/>
  <c r="D18" i="5" s="1"/>
  <c r="C15" i="5"/>
  <c r="D15" i="5" s="1"/>
  <c r="C11" i="5"/>
  <c r="D11" i="5" s="1"/>
  <c r="F10" i="8"/>
  <c r="H10" i="8" s="1"/>
  <c r="V19" i="5"/>
  <c r="V12" i="5"/>
  <c r="V13" i="6"/>
  <c r="V11" i="6"/>
  <c r="V14" i="5"/>
  <c r="V13" i="5"/>
  <c r="X13" i="5" s="1"/>
  <c r="V31" i="6"/>
  <c r="V28" i="6"/>
  <c r="V23" i="6"/>
  <c r="V18" i="6"/>
  <c r="V15" i="6"/>
  <c r="V15" i="5"/>
  <c r="V29" i="6"/>
  <c r="V26" i="6"/>
  <c r="X26" i="6" s="1"/>
  <c r="V24" i="6"/>
  <c r="X24" i="6" s="1"/>
  <c r="V22" i="6"/>
  <c r="V21" i="6"/>
  <c r="V19" i="6"/>
  <c r="V12" i="6"/>
  <c r="V20" i="6"/>
  <c r="V16" i="6"/>
  <c r="V10" i="6"/>
  <c r="V17" i="5"/>
  <c r="V16" i="5"/>
  <c r="X16" i="5" s="1"/>
  <c r="V10" i="5"/>
  <c r="V33" i="6"/>
  <c r="X33" i="6" s="1"/>
  <c r="V17" i="6"/>
  <c r="V14" i="6"/>
  <c r="V32" i="6"/>
  <c r="V18" i="5"/>
  <c r="V11" i="5"/>
  <c r="X11" i="5" s="1"/>
  <c r="V30" i="6"/>
  <c r="V27" i="6"/>
  <c r="V25" i="6"/>
  <c r="X25" i="6" s="1"/>
  <c r="V34" i="6"/>
  <c r="AG23" i="8"/>
  <c r="AI23" i="8" s="1"/>
  <c r="AG20" i="8"/>
  <c r="AI20" i="8" s="1"/>
  <c r="AG17" i="8"/>
  <c r="AI17" i="8" s="1"/>
  <c r="AG14" i="8"/>
  <c r="AI14" i="8" s="1"/>
  <c r="AG11" i="8"/>
  <c r="AI11" i="8" s="1"/>
  <c r="AG25" i="8"/>
  <c r="AI25" i="8" s="1"/>
  <c r="AG22" i="8"/>
  <c r="AI22" i="8" s="1"/>
  <c r="AG19" i="8"/>
  <c r="AI19" i="8" s="1"/>
  <c r="AG16" i="8"/>
  <c r="AI16" i="8" s="1"/>
  <c r="AG13" i="8"/>
  <c r="AI13" i="8" s="1"/>
  <c r="AG10" i="8"/>
  <c r="AI10" i="8" s="1"/>
  <c r="AG24" i="8"/>
  <c r="AI24" i="8" s="1"/>
  <c r="AG18" i="8"/>
  <c r="AI18" i="8" s="1"/>
  <c r="AG12" i="8"/>
  <c r="AI12" i="8" s="1"/>
  <c r="AG21" i="8"/>
  <c r="AI21" i="8" s="1"/>
  <c r="AG15" i="8"/>
  <c r="AI15" i="8" s="1"/>
  <c r="U25" i="7"/>
  <c r="U35" i="7"/>
  <c r="U11" i="7"/>
  <c r="U22" i="7"/>
  <c r="U32" i="7"/>
  <c r="U12" i="7"/>
  <c r="U27" i="7"/>
  <c r="U14" i="7"/>
  <c r="U17" i="7"/>
  <c r="W17" i="7" s="1"/>
  <c r="U26" i="7"/>
  <c r="U31" i="7"/>
  <c r="U10" i="7"/>
  <c r="W10" i="7" s="1"/>
  <c r="U18" i="7"/>
  <c r="U19" i="7"/>
  <c r="U16" i="7"/>
  <c r="U20" i="7"/>
  <c r="U23" i="7"/>
  <c r="U28" i="7"/>
  <c r="U13" i="7"/>
  <c r="W13" i="7" s="1"/>
  <c r="U24" i="7"/>
  <c r="U29" i="7"/>
  <c r="U34" i="7"/>
  <c r="U21" i="7"/>
  <c r="U30" i="7"/>
  <c r="U15" i="7"/>
  <c r="U33" i="7"/>
  <c r="W33" i="7" s="1"/>
  <c r="M19" i="4"/>
  <c r="O19" i="4" s="1"/>
  <c r="Q19" i="4" s="1"/>
  <c r="Q15" i="4"/>
  <c r="Q16" i="4"/>
  <c r="N11" i="4"/>
  <c r="P11" i="4" s="1"/>
  <c r="Q11" i="4" s="1"/>
  <c r="M10" i="4"/>
  <c r="O10" i="4" s="1"/>
  <c r="Q10" i="4" s="1"/>
  <c r="N18" i="4"/>
  <c r="P18" i="4" s="1"/>
  <c r="Q18" i="4" s="1"/>
  <c r="N14" i="4"/>
  <c r="P14" i="4" s="1"/>
  <c r="Q14" i="4" s="1"/>
  <c r="N12" i="4"/>
  <c r="P12" i="4" s="1"/>
  <c r="Q12" i="4" s="1"/>
  <c r="L19" i="4"/>
  <c r="L17" i="4"/>
  <c r="D21" i="4"/>
  <c r="AH17" i="4"/>
  <c r="AJ17" i="4" s="1"/>
  <c r="AL17" i="4" s="1"/>
  <c r="AH11" i="4"/>
  <c r="AJ11" i="4" s="1"/>
  <c r="AL11" i="4" s="1"/>
  <c r="AH18" i="4"/>
  <c r="AJ18" i="4" s="1"/>
  <c r="AL18" i="4" s="1"/>
  <c r="AH12" i="4"/>
  <c r="AJ12" i="4" s="1"/>
  <c r="AL12" i="4" s="1"/>
  <c r="AH13" i="4"/>
  <c r="AJ13" i="4" s="1"/>
  <c r="AL13" i="4" s="1"/>
  <c r="AH14" i="4"/>
  <c r="AJ14" i="4" s="1"/>
  <c r="AL14" i="4" s="1"/>
  <c r="AH15" i="4"/>
  <c r="AJ15" i="4" s="1"/>
  <c r="AL15" i="4" s="1"/>
  <c r="AH16" i="4"/>
  <c r="AJ16" i="4" s="1"/>
  <c r="AL16" i="4" s="1"/>
  <c r="AH10" i="4"/>
  <c r="AJ10" i="4" s="1"/>
  <c r="AL10" i="4" s="1"/>
  <c r="V17" i="4"/>
  <c r="X17" i="4" s="1"/>
  <c r="V11" i="4"/>
  <c r="X11" i="4" s="1"/>
  <c r="V18" i="4"/>
  <c r="X18" i="4" s="1"/>
  <c r="V12" i="4"/>
  <c r="X12" i="4" s="1"/>
  <c r="V13" i="4"/>
  <c r="X13" i="4" s="1"/>
  <c r="V15" i="4"/>
  <c r="X15" i="4" s="1"/>
  <c r="V14" i="4"/>
  <c r="X14" i="4" s="1"/>
  <c r="V16" i="4"/>
  <c r="X16" i="4" s="1"/>
  <c r="V10" i="4"/>
  <c r="X10" i="4" s="1"/>
  <c r="F11" i="4"/>
  <c r="H11" i="4" s="1"/>
  <c r="F18" i="4"/>
  <c r="H18" i="4" s="1"/>
  <c r="F12" i="4"/>
  <c r="H12" i="4" s="1"/>
  <c r="F15" i="4"/>
  <c r="H15" i="4" s="1"/>
  <c r="F19" i="4"/>
  <c r="H19" i="4" s="1"/>
  <c r="F13" i="4"/>
  <c r="H13" i="4" s="1"/>
  <c r="F16" i="4"/>
  <c r="H16" i="4" s="1"/>
  <c r="F20" i="4"/>
  <c r="H20" i="4" s="1"/>
  <c r="F10" i="4"/>
  <c r="H10" i="4" s="1"/>
  <c r="F14" i="4"/>
  <c r="H14" i="4" s="1"/>
  <c r="F17" i="4"/>
  <c r="H17" i="4" s="1"/>
  <c r="F21" i="4"/>
  <c r="M17" i="4"/>
  <c r="O17" i="4" s="1"/>
  <c r="Q17" i="4" s="1"/>
  <c r="N20" i="4"/>
  <c r="P20" i="4" s="1"/>
  <c r="Q20" i="4" s="1"/>
  <c r="AC17" i="4"/>
  <c r="AE17" i="4" s="1"/>
  <c r="AG17" i="4" s="1"/>
  <c r="AC11" i="4"/>
  <c r="AE11" i="4" s="1"/>
  <c r="AG11" i="4" s="1"/>
  <c r="AX11" i="4" s="1"/>
  <c r="AC18" i="4"/>
  <c r="AE18" i="4" s="1"/>
  <c r="AG18" i="4" s="1"/>
  <c r="AX18" i="4" s="1"/>
  <c r="AC12" i="4"/>
  <c r="AE12" i="4" s="1"/>
  <c r="AG12" i="4" s="1"/>
  <c r="AX12" i="4" s="1"/>
  <c r="AC13" i="4"/>
  <c r="AE13" i="4" s="1"/>
  <c r="AG13" i="4" s="1"/>
  <c r="AX13" i="4" s="1"/>
  <c r="AC14" i="4"/>
  <c r="AE14" i="4" s="1"/>
  <c r="AG14" i="4" s="1"/>
  <c r="AX14" i="4" s="1"/>
  <c r="AC15" i="4"/>
  <c r="AE15" i="4" s="1"/>
  <c r="AG15" i="4" s="1"/>
  <c r="AX15" i="4" s="1"/>
  <c r="AC16" i="4"/>
  <c r="AE16" i="4" s="1"/>
  <c r="AC10" i="4"/>
  <c r="AE10" i="4" s="1"/>
  <c r="AG10" i="4" s="1"/>
  <c r="AX10" i="4" s="1"/>
  <c r="G14" i="4"/>
  <c r="I14" i="4" s="1"/>
  <c r="G17" i="4"/>
  <c r="I17" i="4" s="1"/>
  <c r="G21" i="4"/>
  <c r="I21" i="4" s="1"/>
  <c r="G12" i="4"/>
  <c r="I12" i="4" s="1"/>
  <c r="G11" i="4"/>
  <c r="I11" i="4" s="1"/>
  <c r="G18" i="4"/>
  <c r="I18" i="4" s="1"/>
  <c r="G15" i="4"/>
  <c r="I15" i="4" s="1"/>
  <c r="G13" i="4"/>
  <c r="I13" i="4" s="1"/>
  <c r="G16" i="4"/>
  <c r="I16" i="4" s="1"/>
  <c r="G20" i="4"/>
  <c r="I20" i="4" s="1"/>
  <c r="G10" i="4"/>
  <c r="I10" i="4" s="1"/>
  <c r="G19" i="4"/>
  <c r="I19" i="4" s="1"/>
  <c r="L17" i="1"/>
  <c r="J17" i="1"/>
  <c r="N12" i="1"/>
  <c r="N9" i="1"/>
  <c r="N14" i="1"/>
  <c r="N6" i="1"/>
  <c r="N11" i="1"/>
  <c r="N17" i="1"/>
  <c r="N7" i="1"/>
  <c r="N8" i="1"/>
  <c r="N16" i="1"/>
  <c r="N13" i="1"/>
  <c r="N10" i="1"/>
  <c r="Q21" i="7" l="1"/>
  <c r="R21" i="7" s="1"/>
  <c r="X19" i="6"/>
  <c r="Q28" i="7"/>
  <c r="R28" i="7" s="1"/>
  <c r="L22" i="7"/>
  <c r="N22" i="7" s="1"/>
  <c r="P22" i="7" s="1"/>
  <c r="M24" i="7"/>
  <c r="O24" i="7" s="1"/>
  <c r="P24" i="7" s="1"/>
  <c r="J33" i="7"/>
  <c r="M34" i="7"/>
  <c r="O34" i="7" s="1"/>
  <c r="P34" i="7" s="1"/>
  <c r="Q34" i="7" s="1"/>
  <c r="R34" i="7" s="1"/>
  <c r="M25" i="7"/>
  <c r="O25" i="7" s="1"/>
  <c r="P25" i="7" s="1"/>
  <c r="Q25" i="7" s="1"/>
  <c r="R25" i="7" s="1"/>
  <c r="L30" i="7"/>
  <c r="N30" i="7" s="1"/>
  <c r="P30" i="7" s="1"/>
  <c r="J34" i="7"/>
  <c r="H30" i="7"/>
  <c r="J30" i="7" s="1"/>
  <c r="R30" i="4"/>
  <c r="S30" i="4" s="1"/>
  <c r="M32" i="7"/>
  <c r="O32" i="7" s="1"/>
  <c r="P32" i="7" s="1"/>
  <c r="L33" i="7"/>
  <c r="N33" i="7" s="1"/>
  <c r="P33" i="7" s="1"/>
  <c r="Q33" i="7" s="1"/>
  <c r="R33" i="7" s="1"/>
  <c r="Q22" i="4"/>
  <c r="H22" i="7"/>
  <c r="J22" i="7" s="1"/>
  <c r="H29" i="6"/>
  <c r="J29" i="6" s="1"/>
  <c r="X17" i="5"/>
  <c r="H24" i="6"/>
  <c r="J24" i="6" s="1"/>
  <c r="R24" i="6" s="1"/>
  <c r="S24" i="6" s="1"/>
  <c r="L24" i="6"/>
  <c r="Q33" i="4"/>
  <c r="R33" i="4" s="1"/>
  <c r="S33" i="4" s="1"/>
  <c r="Q31" i="6"/>
  <c r="R31" i="6" s="1"/>
  <c r="S31" i="6" s="1"/>
  <c r="Q27" i="4"/>
  <c r="R27" i="4" s="1"/>
  <c r="S27" i="4" s="1"/>
  <c r="AJ21" i="4"/>
  <c r="AL21" i="4" s="1"/>
  <c r="AX19" i="4"/>
  <c r="AE21" i="4"/>
  <c r="AG21" i="4" s="1"/>
  <c r="J32" i="7"/>
  <c r="Q32" i="7" s="1"/>
  <c r="R32" i="7" s="1"/>
  <c r="H27" i="7"/>
  <c r="J27" i="7" s="1"/>
  <c r="H26" i="6"/>
  <c r="J26" i="6" s="1"/>
  <c r="R26" i="6" s="1"/>
  <c r="S26" i="6" s="1"/>
  <c r="H28" i="6"/>
  <c r="J28" i="6" s="1"/>
  <c r="R28" i="6" s="1"/>
  <c r="S28" i="6" s="1"/>
  <c r="Q31" i="4"/>
  <c r="R31" i="4" s="1"/>
  <c r="S31" i="4" s="1"/>
  <c r="M27" i="7"/>
  <c r="O27" i="7" s="1"/>
  <c r="P27" i="7" s="1"/>
  <c r="Q25" i="6"/>
  <c r="Q24" i="7"/>
  <c r="R24" i="7" s="1"/>
  <c r="R32" i="6"/>
  <c r="S32" i="6" s="1"/>
  <c r="R24" i="4"/>
  <c r="S24" i="4" s="1"/>
  <c r="P29" i="7"/>
  <c r="Q29" i="7" s="1"/>
  <c r="R29" i="7" s="1"/>
  <c r="Q38" i="4"/>
  <c r="R38" i="4" s="1"/>
  <c r="S38" i="4" s="1"/>
  <c r="M31" i="7"/>
  <c r="O31" i="7" s="1"/>
  <c r="P31" i="7" s="1"/>
  <c r="X14" i="5"/>
  <c r="Q20" i="7"/>
  <c r="R20" i="7" s="1"/>
  <c r="Q33" i="6"/>
  <c r="R33" i="6" s="1"/>
  <c r="S33" i="6" s="1"/>
  <c r="M23" i="7"/>
  <c r="O23" i="7" s="1"/>
  <c r="P23" i="7" s="1"/>
  <c r="Q32" i="4"/>
  <c r="R32" i="4" s="1"/>
  <c r="S32" i="4" s="1"/>
  <c r="H26" i="7"/>
  <c r="J26" i="7" s="1"/>
  <c r="Q26" i="7" s="1"/>
  <c r="R26" i="7" s="1"/>
  <c r="J31" i="7"/>
  <c r="Q28" i="4"/>
  <c r="R28" i="4" s="1"/>
  <c r="S28" i="4" s="1"/>
  <c r="L18" i="7"/>
  <c r="N18" i="7" s="1"/>
  <c r="P18" i="7" s="1"/>
  <c r="W13" i="12"/>
  <c r="Q37" i="4"/>
  <c r="R37" i="4" s="1"/>
  <c r="S37" i="4" s="1"/>
  <c r="Q29" i="4"/>
  <c r="R29" i="4" s="1"/>
  <c r="S29" i="4" s="1"/>
  <c r="H19" i="7"/>
  <c r="J19" i="7" s="1"/>
  <c r="Q19" i="7" s="1"/>
  <c r="R19" i="7" s="1"/>
  <c r="H18" i="7"/>
  <c r="J18" i="7" s="1"/>
  <c r="Q36" i="4"/>
  <c r="R36" i="4" s="1"/>
  <c r="S36" i="4" s="1"/>
  <c r="R34" i="4"/>
  <c r="S34" i="4" s="1"/>
  <c r="R29" i="6"/>
  <c r="S29" i="6" s="1"/>
  <c r="X21" i="4"/>
  <c r="Q17" i="7"/>
  <c r="R17" i="7" s="1"/>
  <c r="H23" i="7"/>
  <c r="J23" i="7" s="1"/>
  <c r="R22" i="4"/>
  <c r="S22" i="4" s="1"/>
  <c r="H27" i="6"/>
  <c r="J27" i="6" s="1"/>
  <c r="R27" i="6" s="1"/>
  <c r="S27" i="6" s="1"/>
  <c r="H25" i="6"/>
  <c r="J25" i="6" s="1"/>
  <c r="M20" i="7"/>
  <c r="O20" i="7" s="1"/>
  <c r="P20" i="7" s="1"/>
  <c r="X27" i="6"/>
  <c r="AG16" i="4"/>
  <c r="AX16" i="4" s="1"/>
  <c r="H25" i="13"/>
  <c r="H8" i="13"/>
  <c r="H18" i="13"/>
  <c r="H24" i="13"/>
  <c r="H27" i="13"/>
  <c r="H12" i="13"/>
  <c r="H11" i="13"/>
  <c r="H10" i="13"/>
  <c r="H29" i="13"/>
  <c r="H16" i="13"/>
  <c r="H26" i="13"/>
  <c r="H14" i="13"/>
  <c r="H20" i="13"/>
  <c r="H22" i="13"/>
  <c r="H33" i="13"/>
  <c r="H30" i="13"/>
  <c r="H19" i="13"/>
  <c r="H21" i="13"/>
  <c r="H13" i="13"/>
  <c r="H32" i="13"/>
  <c r="H7" i="13"/>
  <c r="H23" i="13"/>
  <c r="H17" i="13"/>
  <c r="H34" i="13"/>
  <c r="H31" i="13"/>
  <c r="H5" i="13"/>
  <c r="H28" i="13"/>
  <c r="H15" i="13"/>
  <c r="H6" i="13"/>
  <c r="Q17" i="11"/>
  <c r="Q21" i="11"/>
  <c r="H9" i="13"/>
  <c r="Q10" i="11"/>
  <c r="M12" i="12"/>
  <c r="O12" i="12" s="1"/>
  <c r="P12" i="12" s="1"/>
  <c r="M10" i="12"/>
  <c r="O10" i="12" s="1"/>
  <c r="P10" i="12" s="1"/>
  <c r="W30" i="7"/>
  <c r="W19" i="7"/>
  <c r="Q13" i="10"/>
  <c r="AJ11" i="10"/>
  <c r="AL11" i="10" s="1"/>
  <c r="AE11" i="10"/>
  <c r="AG11" i="10" s="1"/>
  <c r="X11" i="10"/>
  <c r="AE12" i="10"/>
  <c r="AG12" i="10" s="1"/>
  <c r="Q13" i="6"/>
  <c r="X12" i="5"/>
  <c r="Q23" i="6"/>
  <c r="Q10" i="10"/>
  <c r="Q18" i="6"/>
  <c r="X10" i="10"/>
  <c r="L13" i="12"/>
  <c r="N13" i="12" s="1"/>
  <c r="P13" i="12" s="1"/>
  <c r="Q21" i="6"/>
  <c r="L11" i="12"/>
  <c r="N11" i="12" s="1"/>
  <c r="P11" i="12" s="1"/>
  <c r="Q16" i="11"/>
  <c r="W11" i="12"/>
  <c r="AJ10" i="10"/>
  <c r="AL10" i="10" s="1"/>
  <c r="W20" i="7"/>
  <c r="X17" i="6"/>
  <c r="X12" i="6"/>
  <c r="Q12" i="6"/>
  <c r="Q22" i="6"/>
  <c r="Q17" i="6"/>
  <c r="Q19" i="6"/>
  <c r="Q13" i="9"/>
  <c r="X23" i="6"/>
  <c r="W18" i="7"/>
  <c r="AE10" i="10"/>
  <c r="AG10" i="10" s="1"/>
  <c r="X18" i="5"/>
  <c r="Q18" i="11"/>
  <c r="Q14" i="11"/>
  <c r="Q15" i="11"/>
  <c r="Q15" i="9"/>
  <c r="Q11" i="9"/>
  <c r="Q14" i="6"/>
  <c r="Q11" i="11"/>
  <c r="J11" i="11"/>
  <c r="J21" i="11"/>
  <c r="J13" i="11"/>
  <c r="H12" i="10"/>
  <c r="J12" i="10" s="1"/>
  <c r="L12" i="10"/>
  <c r="Q20" i="6"/>
  <c r="L10" i="10"/>
  <c r="H10" i="10"/>
  <c r="J10" i="10" s="1"/>
  <c r="Q13" i="11"/>
  <c r="J12" i="9"/>
  <c r="J12" i="11"/>
  <c r="L13" i="10"/>
  <c r="AX13" i="10" s="1"/>
  <c r="H13" i="10"/>
  <c r="J13" i="10" s="1"/>
  <c r="Q10" i="9"/>
  <c r="Q16" i="6"/>
  <c r="Q12" i="11"/>
  <c r="J16" i="11"/>
  <c r="J10" i="9"/>
  <c r="J15" i="11"/>
  <c r="H10" i="12"/>
  <c r="J10" i="12" s="1"/>
  <c r="Q10" i="12" s="1"/>
  <c r="R10" i="12" s="1"/>
  <c r="Q20" i="11"/>
  <c r="Q12" i="9"/>
  <c r="Q14" i="9"/>
  <c r="J13" i="9"/>
  <c r="J17" i="11"/>
  <c r="R17" i="11" s="1"/>
  <c r="S17" i="11" s="1"/>
  <c r="J14" i="11"/>
  <c r="H12" i="12"/>
  <c r="J12" i="12" s="1"/>
  <c r="Q11" i="6"/>
  <c r="Q15" i="6"/>
  <c r="J18" i="11"/>
  <c r="L11" i="10"/>
  <c r="AX11" i="10" s="1"/>
  <c r="H11" i="10"/>
  <c r="J11" i="10" s="1"/>
  <c r="Q11" i="10"/>
  <c r="J22" i="11"/>
  <c r="J19" i="11"/>
  <c r="J15" i="9"/>
  <c r="R15" i="9" s="1"/>
  <c r="S15" i="9" s="1"/>
  <c r="J14" i="9"/>
  <c r="H11" i="12"/>
  <c r="J11" i="12" s="1"/>
  <c r="Q12" i="10"/>
  <c r="J11" i="9"/>
  <c r="J20" i="11"/>
  <c r="J10" i="11"/>
  <c r="H13" i="12"/>
  <c r="J13" i="12" s="1"/>
  <c r="Q22" i="11"/>
  <c r="Q19" i="11"/>
  <c r="W22" i="7"/>
  <c r="W27" i="7"/>
  <c r="W32" i="7"/>
  <c r="W23" i="7"/>
  <c r="W12" i="7"/>
  <c r="W31" i="7"/>
  <c r="W21" i="7"/>
  <c r="W14" i="7"/>
  <c r="W15" i="7"/>
  <c r="W34" i="7"/>
  <c r="W11" i="7"/>
  <c r="W29" i="7"/>
  <c r="X34" i="6"/>
  <c r="X32" i="6"/>
  <c r="X14" i="6"/>
  <c r="X28" i="6"/>
  <c r="X16" i="6"/>
  <c r="X18" i="6"/>
  <c r="X15" i="6"/>
  <c r="X30" i="6"/>
  <c r="X29" i="6"/>
  <c r="W16" i="7"/>
  <c r="X21" i="6"/>
  <c r="W24" i="7"/>
  <c r="W28" i="7"/>
  <c r="W35" i="7"/>
  <c r="X22" i="6"/>
  <c r="X11" i="6"/>
  <c r="W26" i="7"/>
  <c r="W25" i="7"/>
  <c r="X20" i="6"/>
  <c r="X31" i="6"/>
  <c r="X13" i="6"/>
  <c r="X10" i="5"/>
  <c r="X19" i="5"/>
  <c r="X15" i="5"/>
  <c r="O11" i="5"/>
  <c r="Q11" i="5" s="1"/>
  <c r="AJ11" i="5"/>
  <c r="AL11" i="5" s="1"/>
  <c r="H11" i="5"/>
  <c r="J11" i="5" s="1"/>
  <c r="AE11" i="5"/>
  <c r="AG11" i="5" s="1"/>
  <c r="L11" i="5"/>
  <c r="AE29" i="6"/>
  <c r="AG29" i="6" s="1"/>
  <c r="AJ29" i="6"/>
  <c r="AL29" i="6" s="1"/>
  <c r="L18" i="6"/>
  <c r="AE18" i="6"/>
  <c r="AG18" i="6" s="1"/>
  <c r="AJ18" i="6"/>
  <c r="AL18" i="6" s="1"/>
  <c r="H18" i="6"/>
  <c r="J18" i="6" s="1"/>
  <c r="H11" i="7"/>
  <c r="J11" i="7" s="1"/>
  <c r="Q11" i="7" s="1"/>
  <c r="AJ32" i="6"/>
  <c r="AL32" i="6" s="1"/>
  <c r="AE32" i="6"/>
  <c r="AG32" i="6" s="1"/>
  <c r="AE13" i="5"/>
  <c r="AG13" i="5" s="1"/>
  <c r="O13" i="5"/>
  <c r="Q13" i="5" s="1"/>
  <c r="H13" i="5"/>
  <c r="J13" i="5" s="1"/>
  <c r="AJ13" i="5"/>
  <c r="AL13" i="5" s="1"/>
  <c r="L13" i="5"/>
  <c r="AE27" i="6"/>
  <c r="AG27" i="6" s="1"/>
  <c r="AJ27" i="6"/>
  <c r="AL27" i="6" s="1"/>
  <c r="AJ14" i="5"/>
  <c r="AL14" i="5" s="1"/>
  <c r="AE14" i="5"/>
  <c r="AG14" i="5" s="1"/>
  <c r="L14" i="5"/>
  <c r="O14" i="5"/>
  <c r="Q14" i="5" s="1"/>
  <c r="H14" i="5"/>
  <c r="J14" i="5" s="1"/>
  <c r="AE23" i="6"/>
  <c r="AG23" i="6" s="1"/>
  <c r="H23" i="6"/>
  <c r="J23" i="6" s="1"/>
  <c r="AJ23" i="6"/>
  <c r="AL23" i="6" s="1"/>
  <c r="L23" i="6"/>
  <c r="H14" i="6"/>
  <c r="J14" i="6" s="1"/>
  <c r="L14" i="6"/>
  <c r="AE14" i="6"/>
  <c r="AG14" i="6" s="1"/>
  <c r="AJ14" i="6"/>
  <c r="AL14" i="6" s="1"/>
  <c r="AJ20" i="5"/>
  <c r="AL20" i="5" s="1"/>
  <c r="O20" i="5"/>
  <c r="Q20" i="5" s="1"/>
  <c r="L20" i="5"/>
  <c r="AE20" i="5"/>
  <c r="AG20" i="5" s="1"/>
  <c r="X20" i="5"/>
  <c r="H20" i="5"/>
  <c r="J20" i="5" s="1"/>
  <c r="AE21" i="5"/>
  <c r="AG21" i="5" s="1"/>
  <c r="L21" i="5"/>
  <c r="X21" i="5"/>
  <c r="H21" i="5"/>
  <c r="J21" i="5" s="1"/>
  <c r="O21" i="5"/>
  <c r="Q21" i="5" s="1"/>
  <c r="AJ21" i="5"/>
  <c r="AL21" i="5" s="1"/>
  <c r="AE15" i="5"/>
  <c r="AG15" i="5" s="1"/>
  <c r="O15" i="5"/>
  <c r="Q15" i="5" s="1"/>
  <c r="L15" i="5"/>
  <c r="H15" i="5"/>
  <c r="J15" i="5" s="1"/>
  <c r="AJ15" i="5"/>
  <c r="AL15" i="5" s="1"/>
  <c r="L16" i="6"/>
  <c r="AE16" i="6"/>
  <c r="AG16" i="6" s="1"/>
  <c r="H16" i="6"/>
  <c r="J16" i="6" s="1"/>
  <c r="AJ16" i="6"/>
  <c r="AL16" i="6" s="1"/>
  <c r="H12" i="7"/>
  <c r="J12" i="7" s="1"/>
  <c r="Q12" i="7" s="1"/>
  <c r="L12" i="5"/>
  <c r="AJ12" i="5"/>
  <c r="AL12" i="5" s="1"/>
  <c r="AE12" i="5"/>
  <c r="AG12" i="5" s="1"/>
  <c r="O12" i="5"/>
  <c r="Q12" i="5" s="1"/>
  <c r="H12" i="5"/>
  <c r="J12" i="5" s="1"/>
  <c r="AE28" i="6"/>
  <c r="AG28" i="6" s="1"/>
  <c r="AJ28" i="6"/>
  <c r="AL28" i="6" s="1"/>
  <c r="AJ17" i="6"/>
  <c r="AL17" i="6" s="1"/>
  <c r="H17" i="6"/>
  <c r="J17" i="6" s="1"/>
  <c r="AE17" i="6"/>
  <c r="AG17" i="6" s="1"/>
  <c r="L17" i="6"/>
  <c r="H10" i="7"/>
  <c r="J10" i="7" s="1"/>
  <c r="Q10" i="7" s="1"/>
  <c r="O17" i="5"/>
  <c r="Q17" i="5" s="1"/>
  <c r="H17" i="5"/>
  <c r="J17" i="5" s="1"/>
  <c r="L17" i="5"/>
  <c r="AE17" i="5"/>
  <c r="AG17" i="5" s="1"/>
  <c r="AJ17" i="5"/>
  <c r="AL17" i="5" s="1"/>
  <c r="AJ24" i="6"/>
  <c r="AL24" i="6" s="1"/>
  <c r="AE24" i="6"/>
  <c r="AG24" i="6" s="1"/>
  <c r="AJ15" i="6"/>
  <c r="AL15" i="6" s="1"/>
  <c r="H15" i="6"/>
  <c r="J15" i="6" s="1"/>
  <c r="AE15" i="6"/>
  <c r="AG15" i="6" s="1"/>
  <c r="L15" i="6"/>
  <c r="AJ33" i="6"/>
  <c r="AL33" i="6" s="1"/>
  <c r="AE33" i="6"/>
  <c r="AG33" i="6" s="1"/>
  <c r="AE12" i="6"/>
  <c r="AG12" i="6" s="1"/>
  <c r="H12" i="6"/>
  <c r="J12" i="6" s="1"/>
  <c r="AJ12" i="6"/>
  <c r="AL12" i="6" s="1"/>
  <c r="L12" i="6"/>
  <c r="AE18" i="5"/>
  <c r="AG18" i="5" s="1"/>
  <c r="L18" i="5"/>
  <c r="AJ18" i="5"/>
  <c r="AL18" i="5" s="1"/>
  <c r="H18" i="5"/>
  <c r="J18" i="5" s="1"/>
  <c r="O18" i="5"/>
  <c r="Q18" i="5" s="1"/>
  <c r="L16" i="5"/>
  <c r="AJ16" i="5"/>
  <c r="AL16" i="5" s="1"/>
  <c r="H16" i="5"/>
  <c r="J16" i="5" s="1"/>
  <c r="AE16" i="5"/>
  <c r="AG16" i="5" s="1"/>
  <c r="O16" i="5"/>
  <c r="Q16" i="5" s="1"/>
  <c r="AJ25" i="6"/>
  <c r="AL25" i="6" s="1"/>
  <c r="AE25" i="6"/>
  <c r="AG25" i="6" s="1"/>
  <c r="H14" i="7"/>
  <c r="J14" i="7" s="1"/>
  <c r="Q14" i="7" s="1"/>
  <c r="AJ34" i="6"/>
  <c r="AL34" i="6" s="1"/>
  <c r="AE34" i="6"/>
  <c r="AG34" i="6" s="1"/>
  <c r="AE30" i="6"/>
  <c r="AG30" i="6" s="1"/>
  <c r="AJ30" i="6"/>
  <c r="AL30" i="6" s="1"/>
  <c r="L19" i="6"/>
  <c r="AE19" i="6"/>
  <c r="AG19" i="6" s="1"/>
  <c r="AJ19" i="6"/>
  <c r="AL19" i="6" s="1"/>
  <c r="H19" i="6"/>
  <c r="J19" i="6" s="1"/>
  <c r="H13" i="7"/>
  <c r="J13" i="7" s="1"/>
  <c r="Q13" i="7" s="1"/>
  <c r="AE21" i="6"/>
  <c r="AG21" i="6" s="1"/>
  <c r="AJ21" i="6"/>
  <c r="AL21" i="6" s="1"/>
  <c r="L21" i="6"/>
  <c r="H21" i="6"/>
  <c r="J21" i="6" s="1"/>
  <c r="AE11" i="6"/>
  <c r="AG11" i="6" s="1"/>
  <c r="L11" i="6"/>
  <c r="H11" i="6"/>
  <c r="J11" i="6" s="1"/>
  <c r="AJ11" i="6"/>
  <c r="AL11" i="6" s="1"/>
  <c r="H19" i="5"/>
  <c r="J19" i="5" s="1"/>
  <c r="AE19" i="5"/>
  <c r="AG19" i="5" s="1"/>
  <c r="L19" i="5"/>
  <c r="AJ19" i="5"/>
  <c r="AL19" i="5" s="1"/>
  <c r="O19" i="5"/>
  <c r="Q19" i="5" s="1"/>
  <c r="H22" i="6"/>
  <c r="J22" i="6" s="1"/>
  <c r="AE22" i="6"/>
  <c r="AG22" i="6" s="1"/>
  <c r="AJ22" i="6"/>
  <c r="AL22" i="6" s="1"/>
  <c r="L22" i="6"/>
  <c r="L13" i="6"/>
  <c r="AE13" i="6"/>
  <c r="AG13" i="6" s="1"/>
  <c r="H13" i="6"/>
  <c r="J13" i="6" s="1"/>
  <c r="AJ13" i="6"/>
  <c r="AL13" i="6" s="1"/>
  <c r="H15" i="7"/>
  <c r="J15" i="7" s="1"/>
  <c r="Q15" i="7" s="1"/>
  <c r="AJ31" i="6"/>
  <c r="AL31" i="6" s="1"/>
  <c r="AE31" i="6"/>
  <c r="AG31" i="6" s="1"/>
  <c r="AJ20" i="6"/>
  <c r="AL20" i="6" s="1"/>
  <c r="H20" i="6"/>
  <c r="J20" i="6" s="1"/>
  <c r="AE20" i="6"/>
  <c r="AG20" i="6" s="1"/>
  <c r="L20" i="6"/>
  <c r="AE10" i="5"/>
  <c r="AG10" i="5" s="1"/>
  <c r="AJ10" i="5"/>
  <c r="AL10" i="5" s="1"/>
  <c r="O10" i="5"/>
  <c r="Q10" i="5" s="1"/>
  <c r="H10" i="5"/>
  <c r="J10" i="5" s="1"/>
  <c r="L10" i="5"/>
  <c r="AJ26" i="6"/>
  <c r="AL26" i="6" s="1"/>
  <c r="AE26" i="6"/>
  <c r="AG26" i="6" s="1"/>
  <c r="H16" i="7"/>
  <c r="J16" i="7" s="1"/>
  <c r="Q16" i="7" s="1"/>
  <c r="H22" i="5"/>
  <c r="J22" i="5" s="1"/>
  <c r="AE22" i="5"/>
  <c r="AG22" i="5" s="1"/>
  <c r="X22" i="5"/>
  <c r="L22" i="5"/>
  <c r="AJ22" i="5"/>
  <c r="AL22" i="5" s="1"/>
  <c r="O22" i="5"/>
  <c r="Q22" i="5" s="1"/>
  <c r="J17" i="4"/>
  <c r="R17" i="4" s="1"/>
  <c r="J13" i="4"/>
  <c r="R13" i="4" s="1"/>
  <c r="J12" i="4"/>
  <c r="R12" i="4" s="1"/>
  <c r="J11" i="4"/>
  <c r="R11" i="4" s="1"/>
  <c r="J19" i="4"/>
  <c r="R19" i="4" s="1"/>
  <c r="J20" i="4"/>
  <c r="R20" i="4" s="1"/>
  <c r="J18" i="4"/>
  <c r="R18" i="4" s="1"/>
  <c r="J14" i="4"/>
  <c r="R14" i="4" s="1"/>
  <c r="J16" i="4"/>
  <c r="R16" i="4" s="1"/>
  <c r="J15" i="4"/>
  <c r="R15" i="4" s="1"/>
  <c r="AX17" i="4"/>
  <c r="H21" i="4"/>
  <c r="J21" i="4" s="1"/>
  <c r="O21" i="4"/>
  <c r="Q21" i="4" s="1"/>
  <c r="L21" i="4"/>
  <c r="X10" i="6"/>
  <c r="AE10" i="6"/>
  <c r="AG10" i="6" s="1"/>
  <c r="AJ10" i="6"/>
  <c r="AL10" i="6" s="1"/>
  <c r="Q10" i="6"/>
  <c r="H10" i="6"/>
  <c r="J10" i="6" s="1"/>
  <c r="L10" i="6"/>
  <c r="J10" i="4"/>
  <c r="R10" i="4" s="1"/>
  <c r="S10" i="4" s="1"/>
  <c r="I30" i="3"/>
  <c r="I42" i="3"/>
  <c r="C23" i="3"/>
  <c r="C22" i="3"/>
  <c r="C21" i="3"/>
  <c r="C20" i="3"/>
  <c r="C19" i="3"/>
  <c r="C18" i="3"/>
  <c r="C17" i="3"/>
  <c r="C16" i="3"/>
  <c r="C15" i="3"/>
  <c r="C14" i="3"/>
  <c r="Q18" i="7" l="1"/>
  <c r="R18" i="7" s="1"/>
  <c r="Q22" i="7"/>
  <c r="R22" i="7" s="1"/>
  <c r="Q30" i="7"/>
  <c r="R30" i="7" s="1"/>
  <c r="Q31" i="7"/>
  <c r="R31" i="7" s="1"/>
  <c r="U29" i="4"/>
  <c r="U33" i="4"/>
  <c r="U38" i="4"/>
  <c r="E11" i="8"/>
  <c r="E22" i="8"/>
  <c r="E25" i="8"/>
  <c r="U19" i="4"/>
  <c r="U35" i="4"/>
  <c r="E12" i="8"/>
  <c r="U25" i="4"/>
  <c r="U27" i="4"/>
  <c r="U36" i="4"/>
  <c r="U39" i="4"/>
  <c r="U26" i="4"/>
  <c r="E13" i="8"/>
  <c r="E21" i="8"/>
  <c r="U20" i="4"/>
  <c r="E15" i="8"/>
  <c r="E19" i="8"/>
  <c r="E24" i="8"/>
  <c r="U37" i="4"/>
  <c r="E23" i="8"/>
  <c r="E14" i="8"/>
  <c r="E18" i="8"/>
  <c r="U21" i="4"/>
  <c r="U24" i="4"/>
  <c r="U28" i="4"/>
  <c r="U23" i="4"/>
  <c r="U32" i="4"/>
  <c r="U34" i="4"/>
  <c r="E17" i="8"/>
  <c r="U22" i="4"/>
  <c r="U30" i="4"/>
  <c r="U31" i="4"/>
  <c r="E16" i="8"/>
  <c r="E20" i="8"/>
  <c r="F12" i="14"/>
  <c r="F15" i="14"/>
  <c r="F10" i="14"/>
  <c r="F13" i="14"/>
  <c r="F14" i="14"/>
  <c r="F11" i="14"/>
  <c r="J27" i="13"/>
  <c r="J21" i="13"/>
  <c r="J8" i="13"/>
  <c r="J16" i="13"/>
  <c r="J28" i="13"/>
  <c r="J22" i="13"/>
  <c r="J9" i="13"/>
  <c r="J17" i="13"/>
  <c r="J13" i="13"/>
  <c r="J14" i="13"/>
  <c r="J34" i="13"/>
  <c r="J29" i="13"/>
  <c r="J23" i="13"/>
  <c r="J10" i="13"/>
  <c r="J18" i="13"/>
  <c r="J30" i="13"/>
  <c r="J24" i="13"/>
  <c r="J11" i="13"/>
  <c r="J31" i="13"/>
  <c r="J20" i="13"/>
  <c r="J12" i="13"/>
  <c r="J25" i="13"/>
  <c r="J6" i="13"/>
  <c r="J26" i="13"/>
  <c r="J7" i="13"/>
  <c r="J19" i="13"/>
  <c r="J33" i="13"/>
  <c r="J15" i="13"/>
  <c r="J32" i="13"/>
  <c r="J5" i="13"/>
  <c r="R25" i="6"/>
  <c r="S25" i="6" s="1"/>
  <c r="AX21" i="4"/>
  <c r="AI10" i="14"/>
  <c r="AK10" i="14" s="1"/>
  <c r="AL10" i="14" s="1"/>
  <c r="AQ10" i="14" s="1"/>
  <c r="AR10" i="14" s="1"/>
  <c r="AI13" i="14"/>
  <c r="AK13" i="14" s="1"/>
  <c r="AL13" i="14" s="1"/>
  <c r="AQ13" i="14" s="1"/>
  <c r="AR13" i="14" s="1"/>
  <c r="AI14" i="14"/>
  <c r="AK14" i="14" s="1"/>
  <c r="AL14" i="14" s="1"/>
  <c r="AQ14" i="14" s="1"/>
  <c r="AR14" i="14" s="1"/>
  <c r="AI11" i="14"/>
  <c r="AK11" i="14" s="1"/>
  <c r="AL11" i="14" s="1"/>
  <c r="AQ11" i="14" s="1"/>
  <c r="AR11" i="14" s="1"/>
  <c r="AI12" i="14"/>
  <c r="AK12" i="14" s="1"/>
  <c r="AL12" i="14" s="1"/>
  <c r="AQ12" i="14" s="1"/>
  <c r="AR12" i="14" s="1"/>
  <c r="AI15" i="14"/>
  <c r="AK15" i="14" s="1"/>
  <c r="AL15" i="14" s="1"/>
  <c r="AQ15" i="14" s="1"/>
  <c r="AR15" i="14" s="1"/>
  <c r="Q27" i="7"/>
  <c r="R27" i="7" s="1"/>
  <c r="G13" i="8"/>
  <c r="I13" i="8" s="1"/>
  <c r="J13" i="8" s="1"/>
  <c r="G21" i="8"/>
  <c r="I21" i="8" s="1"/>
  <c r="J21" i="8" s="1"/>
  <c r="G14" i="8"/>
  <c r="I14" i="8" s="1"/>
  <c r="J14" i="8" s="1"/>
  <c r="G15" i="8"/>
  <c r="I15" i="8" s="1"/>
  <c r="J15" i="8" s="1"/>
  <c r="G16" i="8"/>
  <c r="I16" i="8" s="1"/>
  <c r="J16" i="8" s="1"/>
  <c r="G17" i="8"/>
  <c r="I17" i="8" s="1"/>
  <c r="J17" i="8" s="1"/>
  <c r="G18" i="8"/>
  <c r="I18" i="8" s="1"/>
  <c r="J18" i="8" s="1"/>
  <c r="G19" i="8"/>
  <c r="I19" i="8" s="1"/>
  <c r="J19" i="8" s="1"/>
  <c r="G20" i="8"/>
  <c r="I20" i="8" s="1"/>
  <c r="J20" i="8" s="1"/>
  <c r="G24" i="8"/>
  <c r="I24" i="8" s="1"/>
  <c r="J24" i="8" s="1"/>
  <c r="W21" i="4"/>
  <c r="Y21" i="4" s="1"/>
  <c r="Z21" i="4" s="1"/>
  <c r="W23" i="4"/>
  <c r="Y23" i="4" s="1"/>
  <c r="Z23" i="4" s="1"/>
  <c r="W29" i="4"/>
  <c r="Y29" i="4" s="1"/>
  <c r="Z29" i="4" s="1"/>
  <c r="W33" i="4"/>
  <c r="Y33" i="4" s="1"/>
  <c r="Z33" i="4" s="1"/>
  <c r="W38" i="4"/>
  <c r="Y38" i="4" s="1"/>
  <c r="Z38" i="4" s="1"/>
  <c r="G23" i="8"/>
  <c r="I23" i="8" s="1"/>
  <c r="J23" i="8" s="1"/>
  <c r="W24" i="4"/>
  <c r="Y24" i="4" s="1"/>
  <c r="Z24" i="4" s="1"/>
  <c r="W32" i="4"/>
  <c r="Y32" i="4" s="1"/>
  <c r="Z32" i="4" s="1"/>
  <c r="W37" i="4"/>
  <c r="Y37" i="4" s="1"/>
  <c r="Z37" i="4" s="1"/>
  <c r="G11" i="8"/>
  <c r="I11" i="8" s="1"/>
  <c r="J11" i="8" s="1"/>
  <c r="G22" i="8"/>
  <c r="I22" i="8" s="1"/>
  <c r="J22" i="8" s="1"/>
  <c r="G25" i="8"/>
  <c r="I25" i="8" s="1"/>
  <c r="W19" i="4"/>
  <c r="Y19" i="4" s="1"/>
  <c r="Z19" i="4" s="1"/>
  <c r="W35" i="4"/>
  <c r="Y35" i="4" s="1"/>
  <c r="Z35" i="4" s="1"/>
  <c r="G12" i="8"/>
  <c r="I12" i="8" s="1"/>
  <c r="J12" i="8" s="1"/>
  <c r="W25" i="4"/>
  <c r="Y25" i="4" s="1"/>
  <c r="Z25" i="4" s="1"/>
  <c r="W27" i="4"/>
  <c r="Y27" i="4" s="1"/>
  <c r="Z27" i="4" s="1"/>
  <c r="W36" i="4"/>
  <c r="Y36" i="4" s="1"/>
  <c r="Z36" i="4" s="1"/>
  <c r="W39" i="4"/>
  <c r="Y39" i="4" s="1"/>
  <c r="Z39" i="4" s="1"/>
  <c r="W26" i="4"/>
  <c r="Y26" i="4" s="1"/>
  <c r="Z26" i="4" s="1"/>
  <c r="W20" i="4"/>
  <c r="Y20" i="4" s="1"/>
  <c r="Z20" i="4" s="1"/>
  <c r="W28" i="4"/>
  <c r="Y28" i="4" s="1"/>
  <c r="Z28" i="4" s="1"/>
  <c r="W34" i="4"/>
  <c r="Y34" i="4" s="1"/>
  <c r="Z34" i="4" s="1"/>
  <c r="W22" i="4"/>
  <c r="Y22" i="4" s="1"/>
  <c r="Z22" i="4" s="1"/>
  <c r="W30" i="4"/>
  <c r="Y30" i="4" s="1"/>
  <c r="Z30" i="4" s="1"/>
  <c r="W31" i="4"/>
  <c r="Y31" i="4" s="1"/>
  <c r="Z31" i="4" s="1"/>
  <c r="H10" i="14"/>
  <c r="J10" i="14" s="1"/>
  <c r="K10" i="14" s="1"/>
  <c r="H13" i="14"/>
  <c r="J13" i="14" s="1"/>
  <c r="K13" i="14" s="1"/>
  <c r="H14" i="14"/>
  <c r="J14" i="14" s="1"/>
  <c r="K14" i="14" s="1"/>
  <c r="H11" i="14"/>
  <c r="J11" i="14" s="1"/>
  <c r="K11" i="14" s="1"/>
  <c r="H15" i="14"/>
  <c r="J15" i="14" s="1"/>
  <c r="K15" i="14" s="1"/>
  <c r="H12" i="14"/>
  <c r="J12" i="14" s="1"/>
  <c r="K12" i="14" s="1"/>
  <c r="Q23" i="7"/>
  <c r="R23" i="7" s="1"/>
  <c r="R19" i="11"/>
  <c r="S19" i="11" s="1"/>
  <c r="R10" i="11"/>
  <c r="S10" i="11" s="1"/>
  <c r="R14" i="11"/>
  <c r="S14" i="11" s="1"/>
  <c r="R21" i="11"/>
  <c r="S21" i="11" s="1"/>
  <c r="R11" i="11"/>
  <c r="S11" i="11" s="1"/>
  <c r="Q12" i="12"/>
  <c r="R12" i="12" s="1"/>
  <c r="AX12" i="10"/>
  <c r="R10" i="10"/>
  <c r="S10" i="10" s="1"/>
  <c r="R16" i="11"/>
  <c r="S16" i="11" s="1"/>
  <c r="R11" i="9"/>
  <c r="S11" i="9" s="1"/>
  <c r="AX10" i="10"/>
  <c r="Q11" i="12"/>
  <c r="R11" i="12" s="1"/>
  <c r="Q13" i="12"/>
  <c r="R13" i="12" s="1"/>
  <c r="R18" i="11"/>
  <c r="S18" i="11" s="1"/>
  <c r="R20" i="11"/>
  <c r="S20" i="11" s="1"/>
  <c r="R13" i="9"/>
  <c r="S13" i="9" s="1"/>
  <c r="R15" i="11"/>
  <c r="S15" i="11" s="1"/>
  <c r="R20" i="5"/>
  <c r="S20" i="5" s="1"/>
  <c r="R14" i="9"/>
  <c r="S14" i="9" s="1"/>
  <c r="R10" i="9"/>
  <c r="S10" i="9" s="1"/>
  <c r="R13" i="10"/>
  <c r="S13" i="10" s="1"/>
  <c r="R22" i="11"/>
  <c r="S22" i="11" s="1"/>
  <c r="R12" i="11"/>
  <c r="S12" i="11" s="1"/>
  <c r="R12" i="9"/>
  <c r="S12" i="9" s="1"/>
  <c r="R12" i="10"/>
  <c r="S12" i="10" s="1"/>
  <c r="R13" i="11"/>
  <c r="S13" i="11" s="1"/>
  <c r="R11" i="10"/>
  <c r="S11" i="10" s="1"/>
  <c r="R12" i="7"/>
  <c r="R16" i="7"/>
  <c r="R13" i="7"/>
  <c r="R14" i="7"/>
  <c r="R10" i="7"/>
  <c r="R15" i="7"/>
  <c r="R11" i="7"/>
  <c r="U18" i="11"/>
  <c r="U13" i="10"/>
  <c r="U12" i="10"/>
  <c r="U11" i="10"/>
  <c r="U10" i="10"/>
  <c r="T13" i="12"/>
  <c r="T12" i="12"/>
  <c r="T11" i="12"/>
  <c r="T10" i="12"/>
  <c r="U12" i="11"/>
  <c r="U11" i="11"/>
  <c r="U22" i="11"/>
  <c r="U21" i="11"/>
  <c r="U20" i="11"/>
  <c r="U17" i="11"/>
  <c r="U14" i="11"/>
  <c r="U15" i="9"/>
  <c r="U14" i="9"/>
  <c r="U13" i="9"/>
  <c r="U12" i="9"/>
  <c r="U11" i="9"/>
  <c r="U10" i="9"/>
  <c r="U16" i="11"/>
  <c r="U15" i="11"/>
  <c r="U13" i="11"/>
  <c r="U10" i="11"/>
  <c r="U19" i="11"/>
  <c r="U21" i="5"/>
  <c r="U22" i="5"/>
  <c r="U20" i="5"/>
  <c r="U10" i="4"/>
  <c r="E10" i="8"/>
  <c r="T35" i="7"/>
  <c r="T32" i="7"/>
  <c r="T30" i="7"/>
  <c r="T28" i="7"/>
  <c r="T19" i="7"/>
  <c r="T16" i="7"/>
  <c r="T13" i="7"/>
  <c r="T12" i="7"/>
  <c r="U19" i="5"/>
  <c r="U18" i="5"/>
  <c r="U17" i="5"/>
  <c r="U16" i="5"/>
  <c r="U15" i="5"/>
  <c r="U14" i="5"/>
  <c r="U13" i="5"/>
  <c r="U12" i="5"/>
  <c r="U11" i="5"/>
  <c r="U10" i="5"/>
  <c r="T25" i="7"/>
  <c r="T23" i="7"/>
  <c r="T17" i="7"/>
  <c r="T15" i="7"/>
  <c r="U10" i="6"/>
  <c r="T34" i="7"/>
  <c r="T33" i="7"/>
  <c r="T31" i="7"/>
  <c r="T29" i="7"/>
  <c r="T27" i="7"/>
  <c r="T21" i="7"/>
  <c r="T20" i="7"/>
  <c r="T18" i="7"/>
  <c r="T10" i="7"/>
  <c r="U32" i="6"/>
  <c r="U33" i="6"/>
  <c r="U34" i="6"/>
  <c r="T26" i="7"/>
  <c r="T24" i="7"/>
  <c r="T22" i="7"/>
  <c r="T14" i="7"/>
  <c r="T11" i="7"/>
  <c r="U31" i="6"/>
  <c r="U30" i="6"/>
  <c r="U29" i="6"/>
  <c r="U28" i="6"/>
  <c r="U27" i="6"/>
  <c r="U26" i="6"/>
  <c r="U25" i="6"/>
  <c r="U24" i="6"/>
  <c r="U23" i="6"/>
  <c r="U22" i="6"/>
  <c r="U21" i="6"/>
  <c r="U20" i="6"/>
  <c r="U19" i="6"/>
  <c r="U18" i="6"/>
  <c r="U17" i="6"/>
  <c r="U16" i="6"/>
  <c r="U15" i="6"/>
  <c r="U14" i="6"/>
  <c r="U13" i="6"/>
  <c r="U12" i="6"/>
  <c r="U11" i="6"/>
  <c r="V13" i="12"/>
  <c r="X13" i="12" s="1"/>
  <c r="Y13" i="12" s="1"/>
  <c r="V12" i="12"/>
  <c r="X12" i="12" s="1"/>
  <c r="Y12" i="12" s="1"/>
  <c r="V10" i="12"/>
  <c r="X10" i="12" s="1"/>
  <c r="Y10" i="12" s="1"/>
  <c r="V11" i="12"/>
  <c r="X11" i="12" s="1"/>
  <c r="Y11" i="12" s="1"/>
  <c r="W22" i="11"/>
  <c r="Y22" i="11" s="1"/>
  <c r="Z22" i="11" s="1"/>
  <c r="W21" i="11"/>
  <c r="Y21" i="11" s="1"/>
  <c r="Z21" i="11" s="1"/>
  <c r="W20" i="11"/>
  <c r="Y20" i="11" s="1"/>
  <c r="Z20" i="11" s="1"/>
  <c r="W17" i="11"/>
  <c r="Y17" i="11" s="1"/>
  <c r="Z17" i="11" s="1"/>
  <c r="W16" i="11"/>
  <c r="Y16" i="11" s="1"/>
  <c r="Z16" i="11" s="1"/>
  <c r="W14" i="11"/>
  <c r="Y14" i="11" s="1"/>
  <c r="Z14" i="11" s="1"/>
  <c r="W19" i="11"/>
  <c r="Y19" i="11" s="1"/>
  <c r="Z19" i="11" s="1"/>
  <c r="W13" i="11"/>
  <c r="Y13" i="11" s="1"/>
  <c r="Z13" i="11" s="1"/>
  <c r="W10" i="11"/>
  <c r="Y10" i="11" s="1"/>
  <c r="Z10" i="11" s="1"/>
  <c r="W12" i="10"/>
  <c r="Y12" i="10" s="1"/>
  <c r="Z12" i="10" s="1"/>
  <c r="W15" i="11"/>
  <c r="Y15" i="11" s="1"/>
  <c r="Z15" i="11" s="1"/>
  <c r="W18" i="11"/>
  <c r="Y18" i="11" s="1"/>
  <c r="Z18" i="11" s="1"/>
  <c r="W13" i="10"/>
  <c r="Y13" i="10" s="1"/>
  <c r="Z13" i="10" s="1"/>
  <c r="W11" i="10"/>
  <c r="Y11" i="10" s="1"/>
  <c r="Z11" i="10" s="1"/>
  <c r="W12" i="9"/>
  <c r="Y12" i="9" s="1"/>
  <c r="Z12" i="9" s="1"/>
  <c r="W12" i="11"/>
  <c r="Y12" i="11" s="1"/>
  <c r="Z12" i="11" s="1"/>
  <c r="W10" i="10"/>
  <c r="Y10" i="10" s="1"/>
  <c r="Z10" i="10" s="1"/>
  <c r="W14" i="9"/>
  <c r="Y14" i="9" s="1"/>
  <c r="Z14" i="9" s="1"/>
  <c r="W13" i="9"/>
  <c r="Y13" i="9" s="1"/>
  <c r="Z13" i="9" s="1"/>
  <c r="W15" i="9"/>
  <c r="Y15" i="9" s="1"/>
  <c r="Z15" i="9" s="1"/>
  <c r="W11" i="9"/>
  <c r="Y11" i="9" s="1"/>
  <c r="Z11" i="9" s="1"/>
  <c r="W11" i="11"/>
  <c r="Y11" i="11" s="1"/>
  <c r="Z11" i="11" s="1"/>
  <c r="W10" i="9"/>
  <c r="Y10" i="9" s="1"/>
  <c r="Z10" i="9" s="1"/>
  <c r="W21" i="5"/>
  <c r="Y21" i="5" s="1"/>
  <c r="Z21" i="5" s="1"/>
  <c r="W22" i="5"/>
  <c r="Y22" i="5" s="1"/>
  <c r="Z22" i="5" s="1"/>
  <c r="W20" i="5"/>
  <c r="Y20" i="5" s="1"/>
  <c r="Z20" i="5" s="1"/>
  <c r="AX29" i="6"/>
  <c r="R20" i="6"/>
  <c r="AX31" i="6"/>
  <c r="AX14" i="5"/>
  <c r="AX20" i="6"/>
  <c r="AX19" i="5"/>
  <c r="R22" i="5"/>
  <c r="S22" i="5" s="1"/>
  <c r="AX19" i="6"/>
  <c r="AX18" i="5"/>
  <c r="AX17" i="6"/>
  <c r="AX21" i="5"/>
  <c r="AX20" i="5"/>
  <c r="AX18" i="6"/>
  <c r="R12" i="6"/>
  <c r="S12" i="6" s="1"/>
  <c r="R17" i="6"/>
  <c r="R16" i="6"/>
  <c r="AX12" i="6"/>
  <c r="AX16" i="6"/>
  <c r="AX22" i="5"/>
  <c r="R19" i="5"/>
  <c r="S19" i="5" s="1"/>
  <c r="R10" i="5"/>
  <c r="S10" i="5" s="1"/>
  <c r="AX22" i="6"/>
  <c r="AX11" i="6"/>
  <c r="AX16" i="5"/>
  <c r="AX33" i="6"/>
  <c r="AX15" i="5"/>
  <c r="R14" i="6"/>
  <c r="S14" i="6" s="1"/>
  <c r="R23" i="6"/>
  <c r="R14" i="5"/>
  <c r="S14" i="5" s="1"/>
  <c r="AX26" i="6"/>
  <c r="R13" i="6"/>
  <c r="S13" i="6" s="1"/>
  <c r="R22" i="6"/>
  <c r="AX21" i="6"/>
  <c r="R19" i="6"/>
  <c r="AX30" i="6"/>
  <c r="AX25" i="6"/>
  <c r="R16" i="5"/>
  <c r="S16" i="5" s="1"/>
  <c r="AX15" i="6"/>
  <c r="AX24" i="6"/>
  <c r="R17" i="5"/>
  <c r="S17" i="5" s="1"/>
  <c r="R12" i="5"/>
  <c r="S12" i="5" s="1"/>
  <c r="R15" i="5"/>
  <c r="S15" i="5" s="1"/>
  <c r="AX23" i="6"/>
  <c r="AX27" i="6"/>
  <c r="R13" i="5"/>
  <c r="S13" i="5" s="1"/>
  <c r="R18" i="6"/>
  <c r="R11" i="5"/>
  <c r="S11" i="5" s="1"/>
  <c r="AX10" i="5"/>
  <c r="AX13" i="6"/>
  <c r="R11" i="6"/>
  <c r="S11" i="6" s="1"/>
  <c r="R21" i="6"/>
  <c r="AX34" i="6"/>
  <c r="R18" i="5"/>
  <c r="S18" i="5" s="1"/>
  <c r="R15" i="6"/>
  <c r="AX17" i="5"/>
  <c r="AX28" i="6"/>
  <c r="AX12" i="5"/>
  <c r="R21" i="5"/>
  <c r="S21" i="5" s="1"/>
  <c r="AX14" i="6"/>
  <c r="AX32" i="6"/>
  <c r="AX13" i="5"/>
  <c r="AX11" i="5"/>
  <c r="G10" i="8"/>
  <c r="I10" i="8" s="1"/>
  <c r="J10" i="8" s="1"/>
  <c r="W18" i="5"/>
  <c r="Y18" i="5" s="1"/>
  <c r="Z18" i="5" s="1"/>
  <c r="W11" i="6"/>
  <c r="Y11" i="6" s="1"/>
  <c r="Z11" i="6" s="1"/>
  <c r="W10" i="5"/>
  <c r="Y10" i="5" s="1"/>
  <c r="Z10" i="5" s="1"/>
  <c r="W30" i="6"/>
  <c r="Y30" i="6" s="1"/>
  <c r="Z30" i="6" s="1"/>
  <c r="W26" i="6"/>
  <c r="Y26" i="6" s="1"/>
  <c r="Z26" i="6" s="1"/>
  <c r="W19" i="6"/>
  <c r="Y19" i="6" s="1"/>
  <c r="Z19" i="6" s="1"/>
  <c r="W12" i="6"/>
  <c r="Y12" i="6" s="1"/>
  <c r="Z12" i="6" s="1"/>
  <c r="W15" i="5"/>
  <c r="Y15" i="5" s="1"/>
  <c r="Z15" i="5" s="1"/>
  <c r="W12" i="5"/>
  <c r="Y12" i="5" s="1"/>
  <c r="Z12" i="5" s="1"/>
  <c r="W32" i="6"/>
  <c r="Y32" i="6" s="1"/>
  <c r="Z32" i="6" s="1"/>
  <c r="W33" i="6"/>
  <c r="Y33" i="6" s="1"/>
  <c r="Z33" i="6" s="1"/>
  <c r="W31" i="6"/>
  <c r="Y31" i="6" s="1"/>
  <c r="Z31" i="6" s="1"/>
  <c r="W29" i="6"/>
  <c r="Y29" i="6" s="1"/>
  <c r="Z29" i="6" s="1"/>
  <c r="W27" i="6"/>
  <c r="Y27" i="6" s="1"/>
  <c r="Z27" i="6" s="1"/>
  <c r="W24" i="6"/>
  <c r="Y24" i="6" s="1"/>
  <c r="Z24" i="6" s="1"/>
  <c r="W21" i="6"/>
  <c r="Y21" i="6" s="1"/>
  <c r="Z21" i="6" s="1"/>
  <c r="W20" i="6"/>
  <c r="Y20" i="6" s="1"/>
  <c r="Z20" i="6" s="1"/>
  <c r="W18" i="6"/>
  <c r="Y18" i="6" s="1"/>
  <c r="Z18" i="6" s="1"/>
  <c r="W16" i="6"/>
  <c r="Y16" i="6" s="1"/>
  <c r="Z16" i="6" s="1"/>
  <c r="W15" i="6"/>
  <c r="Y15" i="6" s="1"/>
  <c r="Z15" i="6" s="1"/>
  <c r="W17" i="5"/>
  <c r="Y17" i="5" s="1"/>
  <c r="Z17" i="5" s="1"/>
  <c r="W22" i="6"/>
  <c r="Y22" i="6" s="1"/>
  <c r="Z22" i="6" s="1"/>
  <c r="W13" i="6"/>
  <c r="Y13" i="6" s="1"/>
  <c r="Z13" i="6" s="1"/>
  <c r="W19" i="5"/>
  <c r="Y19" i="5" s="1"/>
  <c r="Z19" i="5" s="1"/>
  <c r="W13" i="5"/>
  <c r="Y13" i="5" s="1"/>
  <c r="Z13" i="5" s="1"/>
  <c r="W28" i="6"/>
  <c r="Y28" i="6" s="1"/>
  <c r="Z28" i="6" s="1"/>
  <c r="W25" i="6"/>
  <c r="Y25" i="6" s="1"/>
  <c r="Z25" i="6" s="1"/>
  <c r="W17" i="6"/>
  <c r="Y17" i="6" s="1"/>
  <c r="Z17" i="6" s="1"/>
  <c r="W14" i="5"/>
  <c r="Y14" i="5" s="1"/>
  <c r="Z14" i="5" s="1"/>
  <c r="W11" i="5"/>
  <c r="Y11" i="5" s="1"/>
  <c r="Z11" i="5" s="1"/>
  <c r="W16" i="5"/>
  <c r="Y16" i="5" s="1"/>
  <c r="Z16" i="5" s="1"/>
  <c r="W34" i="6"/>
  <c r="Y34" i="6" s="1"/>
  <c r="Z34" i="6" s="1"/>
  <c r="W23" i="6"/>
  <c r="Y23" i="6" s="1"/>
  <c r="Z23" i="6" s="1"/>
  <c r="W14" i="6"/>
  <c r="Y14" i="6" s="1"/>
  <c r="Z14" i="6" s="1"/>
  <c r="W10" i="6"/>
  <c r="Y10" i="6" s="1"/>
  <c r="Z10" i="6" s="1"/>
  <c r="AH10" i="8"/>
  <c r="AJ10" i="8" s="1"/>
  <c r="AK10" i="8" s="1"/>
  <c r="AP10" i="8" s="1"/>
  <c r="AH20" i="8"/>
  <c r="AJ20" i="8" s="1"/>
  <c r="AK20" i="8" s="1"/>
  <c r="AP20" i="8" s="1"/>
  <c r="AQ20" i="8" s="1"/>
  <c r="AH14" i="8"/>
  <c r="AJ14" i="8" s="1"/>
  <c r="AK14" i="8" s="1"/>
  <c r="AP14" i="8" s="1"/>
  <c r="AQ14" i="8" s="1"/>
  <c r="AH25" i="8"/>
  <c r="AJ25" i="8" s="1"/>
  <c r="AK25" i="8" s="1"/>
  <c r="AP25" i="8" s="1"/>
  <c r="AQ25" i="8" s="1"/>
  <c r="AH19" i="8"/>
  <c r="AJ19" i="8" s="1"/>
  <c r="AK19" i="8" s="1"/>
  <c r="AP19" i="8" s="1"/>
  <c r="AQ19" i="8" s="1"/>
  <c r="AH13" i="8"/>
  <c r="AJ13" i="8" s="1"/>
  <c r="AK13" i="8" s="1"/>
  <c r="AP13" i="8" s="1"/>
  <c r="AQ13" i="8" s="1"/>
  <c r="AH24" i="8"/>
  <c r="AJ24" i="8" s="1"/>
  <c r="AK24" i="8" s="1"/>
  <c r="AP24" i="8" s="1"/>
  <c r="AQ24" i="8" s="1"/>
  <c r="AH18" i="8"/>
  <c r="AJ18" i="8" s="1"/>
  <c r="AK18" i="8" s="1"/>
  <c r="AP18" i="8" s="1"/>
  <c r="AQ18" i="8" s="1"/>
  <c r="AH12" i="8"/>
  <c r="AJ12" i="8" s="1"/>
  <c r="AK12" i="8" s="1"/>
  <c r="AP12" i="8" s="1"/>
  <c r="AQ12" i="8" s="1"/>
  <c r="AH23" i="8"/>
  <c r="AJ23" i="8" s="1"/>
  <c r="AK23" i="8" s="1"/>
  <c r="AP23" i="8" s="1"/>
  <c r="AQ23" i="8" s="1"/>
  <c r="AH17" i="8"/>
  <c r="AJ17" i="8" s="1"/>
  <c r="AK17" i="8" s="1"/>
  <c r="AP17" i="8" s="1"/>
  <c r="AQ17" i="8" s="1"/>
  <c r="AH11" i="8"/>
  <c r="AJ11" i="8" s="1"/>
  <c r="AK11" i="8" s="1"/>
  <c r="AP11" i="8" s="1"/>
  <c r="AQ11" i="8" s="1"/>
  <c r="AH22" i="8"/>
  <c r="AJ22" i="8" s="1"/>
  <c r="AK22" i="8" s="1"/>
  <c r="AP22" i="8" s="1"/>
  <c r="AQ22" i="8" s="1"/>
  <c r="AH16" i="8"/>
  <c r="AJ16" i="8" s="1"/>
  <c r="AK16" i="8" s="1"/>
  <c r="AP16" i="8" s="1"/>
  <c r="AQ16" i="8" s="1"/>
  <c r="AH21" i="8"/>
  <c r="AJ21" i="8" s="1"/>
  <c r="AK21" i="8" s="1"/>
  <c r="AP21" i="8" s="1"/>
  <c r="AQ21" i="8" s="1"/>
  <c r="AH15" i="8"/>
  <c r="AJ15" i="8" s="1"/>
  <c r="AK15" i="8" s="1"/>
  <c r="AP15" i="8" s="1"/>
  <c r="AQ15" i="8" s="1"/>
  <c r="V14" i="7"/>
  <c r="X14" i="7" s="1"/>
  <c r="Y14" i="7" s="1"/>
  <c r="V17" i="7"/>
  <c r="X17" i="7" s="1"/>
  <c r="Y17" i="7" s="1"/>
  <c r="V26" i="7"/>
  <c r="X26" i="7" s="1"/>
  <c r="Y26" i="7" s="1"/>
  <c r="V31" i="7"/>
  <c r="X31" i="7" s="1"/>
  <c r="Y31" i="7" s="1"/>
  <c r="V10" i="7"/>
  <c r="X10" i="7" s="1"/>
  <c r="Y10" i="7" s="1"/>
  <c r="V11" i="7"/>
  <c r="X11" i="7" s="1"/>
  <c r="Y11" i="7" s="1"/>
  <c r="V15" i="7"/>
  <c r="X15" i="7" s="1"/>
  <c r="Y15" i="7" s="1"/>
  <c r="V18" i="7"/>
  <c r="X18" i="7" s="1"/>
  <c r="Y18" i="7" s="1"/>
  <c r="V32" i="7"/>
  <c r="X32" i="7" s="1"/>
  <c r="Y32" i="7" s="1"/>
  <c r="V13" i="7"/>
  <c r="X13" i="7" s="1"/>
  <c r="Y13" i="7" s="1"/>
  <c r="V29" i="7"/>
  <c r="X29" i="7" s="1"/>
  <c r="Y29" i="7" s="1"/>
  <c r="V21" i="7"/>
  <c r="X21" i="7" s="1"/>
  <c r="Y21" i="7" s="1"/>
  <c r="V35" i="7"/>
  <c r="X35" i="7" s="1"/>
  <c r="Y35" i="7" s="1"/>
  <c r="V12" i="7"/>
  <c r="X12" i="7" s="1"/>
  <c r="Y12" i="7" s="1"/>
  <c r="V19" i="7"/>
  <c r="X19" i="7" s="1"/>
  <c r="Y19" i="7" s="1"/>
  <c r="V22" i="7"/>
  <c r="X22" i="7" s="1"/>
  <c r="Y22" i="7" s="1"/>
  <c r="V27" i="7"/>
  <c r="X27" i="7" s="1"/>
  <c r="Y27" i="7" s="1"/>
  <c r="V33" i="7"/>
  <c r="X33" i="7" s="1"/>
  <c r="Y33" i="7" s="1"/>
  <c r="V24" i="7"/>
  <c r="X24" i="7" s="1"/>
  <c r="Y24" i="7" s="1"/>
  <c r="V34" i="7"/>
  <c r="X34" i="7" s="1"/>
  <c r="Y34" i="7" s="1"/>
  <c r="V25" i="7"/>
  <c r="X25" i="7" s="1"/>
  <c r="Y25" i="7" s="1"/>
  <c r="V16" i="7"/>
  <c r="X16" i="7" s="1"/>
  <c r="Y16" i="7" s="1"/>
  <c r="V20" i="7"/>
  <c r="X20" i="7" s="1"/>
  <c r="Y20" i="7" s="1"/>
  <c r="V23" i="7"/>
  <c r="X23" i="7" s="1"/>
  <c r="Y23" i="7" s="1"/>
  <c r="V28" i="7"/>
  <c r="X28" i="7" s="1"/>
  <c r="Y28" i="7" s="1"/>
  <c r="V30" i="7"/>
  <c r="X30" i="7" s="1"/>
  <c r="Y30" i="7" s="1"/>
  <c r="R21" i="4"/>
  <c r="R10" i="6"/>
  <c r="S10" i="6" s="1"/>
  <c r="AX10" i="6"/>
  <c r="W17" i="4"/>
  <c r="Y17" i="4" s="1"/>
  <c r="Z17" i="4" s="1"/>
  <c r="W11" i="4"/>
  <c r="Y11" i="4" s="1"/>
  <c r="Z11" i="4" s="1"/>
  <c r="W18" i="4"/>
  <c r="Y18" i="4" s="1"/>
  <c r="Z18" i="4" s="1"/>
  <c r="W12" i="4"/>
  <c r="Y12" i="4" s="1"/>
  <c r="Z12" i="4" s="1"/>
  <c r="W14" i="4"/>
  <c r="Y14" i="4" s="1"/>
  <c r="Z14" i="4" s="1"/>
  <c r="W13" i="4"/>
  <c r="Y13" i="4" s="1"/>
  <c r="Z13" i="4" s="1"/>
  <c r="W15" i="4"/>
  <c r="Y15" i="4" s="1"/>
  <c r="Z15" i="4" s="1"/>
  <c r="W16" i="4"/>
  <c r="Y16" i="4" s="1"/>
  <c r="Z16" i="4" s="1"/>
  <c r="W10" i="4"/>
  <c r="Y10" i="4" s="1"/>
  <c r="Z10" i="4" s="1"/>
  <c r="U15" i="4"/>
  <c r="U16" i="4"/>
  <c r="U17" i="4"/>
  <c r="U11" i="4"/>
  <c r="U18" i="4"/>
  <c r="U12" i="4"/>
  <c r="U13" i="4"/>
  <c r="U14" i="4"/>
  <c r="S11" i="4"/>
  <c r="AW21" i="4" l="1"/>
  <c r="K32" i="13"/>
  <c r="M32" i="13" s="1"/>
  <c r="L32" i="13"/>
  <c r="N32" i="13" s="1"/>
  <c r="O32" i="13" s="1"/>
  <c r="X14" i="8"/>
  <c r="AA14" i="8" s="1"/>
  <c r="Y14" i="8"/>
  <c r="AB14" i="8" s="1"/>
  <c r="W14" i="8"/>
  <c r="Z14" i="8" s="1"/>
  <c r="AW31" i="4"/>
  <c r="AW30" i="4"/>
  <c r="L20" i="13"/>
  <c r="N20" i="13" s="1"/>
  <c r="K20" i="13"/>
  <c r="M20" i="13" s="1"/>
  <c r="O20" i="13" s="1"/>
  <c r="W23" i="8"/>
  <c r="Z23" i="8" s="1"/>
  <c r="X23" i="8"/>
  <c r="AA23" i="8" s="1"/>
  <c r="Y23" i="8"/>
  <c r="AB23" i="8" s="1"/>
  <c r="AW22" i="4"/>
  <c r="AW25" i="4"/>
  <c r="AW32" i="4"/>
  <c r="K33" i="13"/>
  <c r="M33" i="13" s="1"/>
  <c r="L33" i="13"/>
  <c r="N33" i="13" s="1"/>
  <c r="K31" i="13"/>
  <c r="M31" i="13" s="1"/>
  <c r="L31" i="13"/>
  <c r="N31" i="13" s="1"/>
  <c r="O31" i="13" s="1"/>
  <c r="K34" i="13"/>
  <c r="M34" i="13" s="1"/>
  <c r="L34" i="13"/>
  <c r="N34" i="13" s="1"/>
  <c r="O34" i="13" s="1"/>
  <c r="L8" i="13"/>
  <c r="N8" i="13" s="1"/>
  <c r="K8" i="13"/>
  <c r="M8" i="13" s="1"/>
  <c r="Z12" i="14"/>
  <c r="AC12" i="14" s="1"/>
  <c r="X12" i="14"/>
  <c r="AA12" i="14" s="1"/>
  <c r="Y12" i="14"/>
  <c r="AB12" i="14" s="1"/>
  <c r="AM32" i="4"/>
  <c r="AP32" i="4" s="1"/>
  <c r="AN32" i="4"/>
  <c r="AQ32" i="4" s="1"/>
  <c r="AO32" i="4"/>
  <c r="AR32" i="4" s="1"/>
  <c r="AS32" i="4" s="1"/>
  <c r="AY32" i="4" s="1"/>
  <c r="AM37" i="4"/>
  <c r="AP37" i="4" s="1"/>
  <c r="AN37" i="4"/>
  <c r="AQ37" i="4" s="1"/>
  <c r="AO37" i="4"/>
  <c r="AR37" i="4" s="1"/>
  <c r="AM39" i="4"/>
  <c r="AP39" i="4" s="1"/>
  <c r="AO39" i="4"/>
  <c r="AR39" i="4" s="1"/>
  <c r="AN39" i="4"/>
  <c r="AQ39" i="4" s="1"/>
  <c r="Y22" i="8"/>
  <c r="AB22" i="8" s="1"/>
  <c r="X22" i="8"/>
  <c r="AA22" i="8" s="1"/>
  <c r="W22" i="8"/>
  <c r="Z22" i="8" s="1"/>
  <c r="AC22" i="8" s="1"/>
  <c r="AD22" i="8" s="1"/>
  <c r="AE22" i="8" s="1"/>
  <c r="AW36" i="4"/>
  <c r="K28" i="13"/>
  <c r="M28" i="13" s="1"/>
  <c r="L28" i="13"/>
  <c r="N28" i="13" s="1"/>
  <c r="AM19" i="4"/>
  <c r="AP19" i="4" s="1"/>
  <c r="AO19" i="4"/>
  <c r="AR19" i="4" s="1"/>
  <c r="AN19" i="4"/>
  <c r="AQ19" i="4" s="1"/>
  <c r="Y15" i="14"/>
  <c r="AB15" i="14" s="1"/>
  <c r="X15" i="14"/>
  <c r="AA15" i="14" s="1"/>
  <c r="Z15" i="14"/>
  <c r="AC15" i="14" s="1"/>
  <c r="AW34" i="4"/>
  <c r="AW24" i="4"/>
  <c r="L19" i="13"/>
  <c r="N19" i="13" s="1"/>
  <c r="K19" i="13"/>
  <c r="M19" i="13" s="1"/>
  <c r="L11" i="13"/>
  <c r="N11" i="13" s="1"/>
  <c r="K11" i="13"/>
  <c r="M11" i="13" s="1"/>
  <c r="L14" i="13"/>
  <c r="N14" i="13" s="1"/>
  <c r="K14" i="13"/>
  <c r="M14" i="13" s="1"/>
  <c r="O14" i="13" s="1"/>
  <c r="K21" i="13"/>
  <c r="M21" i="13" s="1"/>
  <c r="L21" i="13"/>
  <c r="N21" i="13" s="1"/>
  <c r="O21" i="13" s="1"/>
  <c r="Y20" i="8"/>
  <c r="AB20" i="8" s="1"/>
  <c r="W20" i="8"/>
  <c r="Z20" i="8" s="1"/>
  <c r="X20" i="8"/>
  <c r="AA20" i="8" s="1"/>
  <c r="AM23" i="4"/>
  <c r="AP23" i="4" s="1"/>
  <c r="AO23" i="4"/>
  <c r="AR23" i="4" s="1"/>
  <c r="AN23" i="4"/>
  <c r="AQ23" i="4" s="1"/>
  <c r="AS23" i="4" s="1"/>
  <c r="AY23" i="4" s="1"/>
  <c r="X24" i="8"/>
  <c r="AA24" i="8" s="1"/>
  <c r="Y24" i="8"/>
  <c r="AB24" i="8" s="1"/>
  <c r="W24" i="8"/>
  <c r="Z24" i="8" s="1"/>
  <c r="AC24" i="8" s="1"/>
  <c r="AD24" i="8" s="1"/>
  <c r="AE24" i="8" s="1"/>
  <c r="AN36" i="4"/>
  <c r="AQ36" i="4" s="1"/>
  <c r="AO36" i="4"/>
  <c r="AR36" i="4" s="1"/>
  <c r="AM36" i="4"/>
  <c r="AP36" i="4" s="1"/>
  <c r="W11" i="8"/>
  <c r="Z11" i="8" s="1"/>
  <c r="X11" i="8"/>
  <c r="AA11" i="8" s="1"/>
  <c r="Y11" i="8"/>
  <c r="AB11" i="8" s="1"/>
  <c r="L12" i="13"/>
  <c r="N12" i="13" s="1"/>
  <c r="K12" i="13"/>
  <c r="M12" i="13" s="1"/>
  <c r="O12" i="13" s="1"/>
  <c r="W13" i="8"/>
  <c r="Z13" i="8" s="1"/>
  <c r="X13" i="8"/>
  <c r="AA13" i="8" s="1"/>
  <c r="Y13" i="8"/>
  <c r="AB13" i="8" s="1"/>
  <c r="L15" i="13"/>
  <c r="N15" i="13" s="1"/>
  <c r="K15" i="13"/>
  <c r="M15" i="13" s="1"/>
  <c r="O15" i="13" s="1"/>
  <c r="K29" i="13"/>
  <c r="M29" i="13" s="1"/>
  <c r="L29" i="13"/>
  <c r="N29" i="13" s="1"/>
  <c r="O29" i="13" s="1"/>
  <c r="Y25" i="8"/>
  <c r="AB25" i="8" s="1"/>
  <c r="X25" i="8"/>
  <c r="AA25" i="8" s="1"/>
  <c r="W25" i="8"/>
  <c r="Z25" i="8" s="1"/>
  <c r="AC25" i="8" s="1"/>
  <c r="AD25" i="8" s="1"/>
  <c r="AE25" i="8" s="1"/>
  <c r="AW28" i="4"/>
  <c r="AW35" i="4"/>
  <c r="L7" i="13"/>
  <c r="N7" i="13" s="1"/>
  <c r="K7" i="13"/>
  <c r="M7" i="13" s="1"/>
  <c r="L24" i="13"/>
  <c r="N24" i="13" s="1"/>
  <c r="K24" i="13"/>
  <c r="M24" i="13" s="1"/>
  <c r="L13" i="13"/>
  <c r="N13" i="13" s="1"/>
  <c r="K13" i="13"/>
  <c r="M13" i="13" s="1"/>
  <c r="O13" i="13" s="1"/>
  <c r="K27" i="13"/>
  <c r="M27" i="13" s="1"/>
  <c r="L27" i="13"/>
  <c r="N27" i="13" s="1"/>
  <c r="O27" i="13" s="1"/>
  <c r="X16" i="8"/>
  <c r="AA16" i="8" s="1"/>
  <c r="Y16" i="8"/>
  <c r="AB16" i="8" s="1"/>
  <c r="W16" i="8"/>
  <c r="Z16" i="8" s="1"/>
  <c r="AC16" i="8" s="1"/>
  <c r="AD16" i="8" s="1"/>
  <c r="AE16" i="8" s="1"/>
  <c r="AM28" i="4"/>
  <c r="AP28" i="4" s="1"/>
  <c r="AO28" i="4"/>
  <c r="AR28" i="4" s="1"/>
  <c r="AN28" i="4"/>
  <c r="AQ28" i="4" s="1"/>
  <c r="AS28" i="4" s="1"/>
  <c r="AY28" i="4" s="1"/>
  <c r="X19" i="8"/>
  <c r="AA19" i="8" s="1"/>
  <c r="Y19" i="8"/>
  <c r="AB19" i="8" s="1"/>
  <c r="W19" i="8"/>
  <c r="Z19" i="8" s="1"/>
  <c r="AC19" i="8" s="1"/>
  <c r="AD19" i="8" s="1"/>
  <c r="AE19" i="8" s="1"/>
  <c r="AO27" i="4"/>
  <c r="AR27" i="4" s="1"/>
  <c r="AM27" i="4"/>
  <c r="AP27" i="4" s="1"/>
  <c r="AS27" i="4" s="1"/>
  <c r="AY27" i="4" s="1"/>
  <c r="AN27" i="4"/>
  <c r="AQ27" i="4" s="1"/>
  <c r="AM38" i="4"/>
  <c r="AP38" i="4" s="1"/>
  <c r="AO38" i="4"/>
  <c r="AR38" i="4" s="1"/>
  <c r="AN38" i="4"/>
  <c r="AQ38" i="4" s="1"/>
  <c r="AS38" i="4" s="1"/>
  <c r="AY38" i="4" s="1"/>
  <c r="L23" i="13"/>
  <c r="N23" i="13" s="1"/>
  <c r="K23" i="13"/>
  <c r="M23" i="13" s="1"/>
  <c r="O23" i="13" s="1"/>
  <c r="X17" i="8"/>
  <c r="AA17" i="8" s="1"/>
  <c r="Y17" i="8"/>
  <c r="AB17" i="8" s="1"/>
  <c r="W17" i="8"/>
  <c r="Z17" i="8" s="1"/>
  <c r="AW27" i="4"/>
  <c r="AM34" i="4"/>
  <c r="AP34" i="4" s="1"/>
  <c r="AO34" i="4"/>
  <c r="AR34" i="4" s="1"/>
  <c r="AN34" i="4"/>
  <c r="AQ34" i="4" s="1"/>
  <c r="AS34" i="4" s="1"/>
  <c r="AY34" i="4" s="1"/>
  <c r="AW20" i="4"/>
  <c r="AW19" i="4"/>
  <c r="AW38" i="4"/>
  <c r="AT38" i="4"/>
  <c r="K26" i="13"/>
  <c r="M26" i="13" s="1"/>
  <c r="L26" i="13"/>
  <c r="N26" i="13" s="1"/>
  <c r="O26" i="13" s="1"/>
  <c r="K30" i="13"/>
  <c r="M30" i="13" s="1"/>
  <c r="L30" i="13"/>
  <c r="N30" i="13" s="1"/>
  <c r="L17" i="13"/>
  <c r="N17" i="13" s="1"/>
  <c r="K17" i="13"/>
  <c r="M17" i="13" s="1"/>
  <c r="Y11" i="14"/>
  <c r="AB11" i="14" s="1"/>
  <c r="X11" i="14"/>
  <c r="AA11" i="14" s="1"/>
  <c r="Z11" i="14"/>
  <c r="AC11" i="14" s="1"/>
  <c r="AN31" i="4"/>
  <c r="AQ31" i="4" s="1"/>
  <c r="AM31" i="4"/>
  <c r="AP31" i="4" s="1"/>
  <c r="AO31" i="4"/>
  <c r="AR31" i="4" s="1"/>
  <c r="AS31" i="4" s="1"/>
  <c r="AY31" i="4" s="1"/>
  <c r="AM24" i="4"/>
  <c r="AP24" i="4" s="1"/>
  <c r="AS24" i="4" s="1"/>
  <c r="AY24" i="4" s="1"/>
  <c r="AO24" i="4"/>
  <c r="AR24" i="4" s="1"/>
  <c r="AN24" i="4"/>
  <c r="AQ24" i="4" s="1"/>
  <c r="X15" i="8"/>
  <c r="AA15" i="8" s="1"/>
  <c r="Y15" i="8"/>
  <c r="AB15" i="8" s="1"/>
  <c r="W15" i="8"/>
  <c r="Z15" i="8" s="1"/>
  <c r="AC15" i="8" s="1"/>
  <c r="AD15" i="8" s="1"/>
  <c r="AE15" i="8" s="1"/>
  <c r="AN25" i="4"/>
  <c r="AQ25" i="4" s="1"/>
  <c r="AO25" i="4"/>
  <c r="AR25" i="4" s="1"/>
  <c r="AM25" i="4"/>
  <c r="AP25" i="4" s="1"/>
  <c r="AM33" i="4"/>
  <c r="AP33" i="4" s="1"/>
  <c r="AN33" i="4"/>
  <c r="AQ33" i="4" s="1"/>
  <c r="AO33" i="4"/>
  <c r="AR33" i="4" s="1"/>
  <c r="AW23" i="4"/>
  <c r="AT23" i="4"/>
  <c r="X10" i="14"/>
  <c r="AA10" i="14" s="1"/>
  <c r="Y10" i="14"/>
  <c r="AB10" i="14" s="1"/>
  <c r="Z10" i="14"/>
  <c r="AC10" i="14" s="1"/>
  <c r="AW37" i="4"/>
  <c r="L16" i="13"/>
  <c r="N16" i="13" s="1"/>
  <c r="K16" i="13"/>
  <c r="M16" i="13" s="1"/>
  <c r="O16" i="13" s="1"/>
  <c r="AO26" i="4"/>
  <c r="AR26" i="4" s="1"/>
  <c r="AN26" i="4"/>
  <c r="AQ26" i="4" s="1"/>
  <c r="AM26" i="4"/>
  <c r="AP26" i="4" s="1"/>
  <c r="AS26" i="4" s="1"/>
  <c r="AY26" i="4" s="1"/>
  <c r="AW26" i="4"/>
  <c r="N29" i="8"/>
  <c r="J25" i="8"/>
  <c r="AW33" i="4"/>
  <c r="L6" i="13"/>
  <c r="N6" i="13" s="1"/>
  <c r="K6" i="13"/>
  <c r="M6" i="13" s="1"/>
  <c r="L18" i="13"/>
  <c r="N18" i="13" s="1"/>
  <c r="K18" i="13"/>
  <c r="M18" i="13" s="1"/>
  <c r="O18" i="13" s="1"/>
  <c r="L9" i="13"/>
  <c r="N9" i="13" s="1"/>
  <c r="K9" i="13"/>
  <c r="M9" i="13" s="1"/>
  <c r="O9" i="13" s="1"/>
  <c r="Z14" i="14"/>
  <c r="AC14" i="14" s="1"/>
  <c r="Y14" i="14"/>
  <c r="AB14" i="14" s="1"/>
  <c r="X14" i="14"/>
  <c r="AA14" i="14" s="1"/>
  <c r="AD14" i="14" s="1"/>
  <c r="AE14" i="14" s="1"/>
  <c r="AM30" i="4"/>
  <c r="AP30" i="4" s="1"/>
  <c r="AS30" i="4" s="1"/>
  <c r="AY30" i="4" s="1"/>
  <c r="AN30" i="4"/>
  <c r="AQ30" i="4" s="1"/>
  <c r="AO30" i="4"/>
  <c r="AR30" i="4" s="1"/>
  <c r="AM21" i="4"/>
  <c r="AP21" i="4" s="1"/>
  <c r="AN21" i="4"/>
  <c r="AQ21" i="4" s="1"/>
  <c r="AO21" i="4"/>
  <c r="AR21" i="4" s="1"/>
  <c r="AM20" i="4"/>
  <c r="AP20" i="4" s="1"/>
  <c r="AN20" i="4"/>
  <c r="AQ20" i="4" s="1"/>
  <c r="AO20" i="4"/>
  <c r="AR20" i="4" s="1"/>
  <c r="W12" i="8"/>
  <c r="Z12" i="8" s="1"/>
  <c r="Y12" i="8"/>
  <c r="AB12" i="8" s="1"/>
  <c r="X12" i="8"/>
  <c r="AA12" i="8" s="1"/>
  <c r="AM29" i="4"/>
  <c r="AP29" i="4" s="1"/>
  <c r="AN29" i="4"/>
  <c r="AQ29" i="4" s="1"/>
  <c r="AO29" i="4"/>
  <c r="AR29" i="4" s="1"/>
  <c r="AW39" i="4"/>
  <c r="AW29" i="4"/>
  <c r="L5" i="13"/>
  <c r="N5" i="13" s="1"/>
  <c r="K5" i="13"/>
  <c r="M5" i="13" s="1"/>
  <c r="O5" i="13" s="1"/>
  <c r="K25" i="13"/>
  <c r="M25" i="13" s="1"/>
  <c r="L25" i="13"/>
  <c r="N25" i="13" s="1"/>
  <c r="O25" i="13" s="1"/>
  <c r="L10" i="13"/>
  <c r="N10" i="13" s="1"/>
  <c r="K10" i="13"/>
  <c r="M10" i="13" s="1"/>
  <c r="K22" i="13"/>
  <c r="M22" i="13" s="1"/>
  <c r="L22" i="13"/>
  <c r="N22" i="13" s="1"/>
  <c r="O22" i="13" s="1"/>
  <c r="Z13" i="14"/>
  <c r="AC13" i="14" s="1"/>
  <c r="X13" i="14"/>
  <c r="AA13" i="14" s="1"/>
  <c r="AD13" i="14" s="1"/>
  <c r="AE13" i="14" s="1"/>
  <c r="Y13" i="14"/>
  <c r="AB13" i="14" s="1"/>
  <c r="AM22" i="4"/>
  <c r="AP22" i="4" s="1"/>
  <c r="AS22" i="4" s="1"/>
  <c r="AY22" i="4" s="1"/>
  <c r="AO22" i="4"/>
  <c r="AR22" i="4" s="1"/>
  <c r="AN22" i="4"/>
  <c r="AQ22" i="4" s="1"/>
  <c r="X18" i="8"/>
  <c r="AA18" i="8" s="1"/>
  <c r="Y18" i="8"/>
  <c r="AB18" i="8" s="1"/>
  <c r="W18" i="8"/>
  <c r="Z18" i="8" s="1"/>
  <c r="X21" i="8"/>
  <c r="AA21" i="8" s="1"/>
  <c r="Y21" i="8"/>
  <c r="AB21" i="8" s="1"/>
  <c r="W21" i="8"/>
  <c r="Z21" i="8" s="1"/>
  <c r="AC21" i="8" s="1"/>
  <c r="AD21" i="8" s="1"/>
  <c r="AE21" i="8" s="1"/>
  <c r="AM35" i="4"/>
  <c r="AP35" i="4" s="1"/>
  <c r="AS35" i="4" s="1"/>
  <c r="AY35" i="4" s="1"/>
  <c r="AN35" i="4"/>
  <c r="AQ35" i="4" s="1"/>
  <c r="AO35" i="4"/>
  <c r="AR35" i="4" s="1"/>
  <c r="AW13" i="4"/>
  <c r="AW11" i="4"/>
  <c r="AW17" i="4"/>
  <c r="AW15" i="4"/>
  <c r="AW14" i="4"/>
  <c r="AW12" i="4"/>
  <c r="AW21" i="11"/>
  <c r="AW16" i="4"/>
  <c r="AW21" i="5"/>
  <c r="AW15" i="9"/>
  <c r="AW13" i="10"/>
  <c r="AW10" i="11"/>
  <c r="AW18" i="4"/>
  <c r="AW10" i="9"/>
  <c r="AW18" i="11"/>
  <c r="AL13" i="12"/>
  <c r="AW22" i="5"/>
  <c r="AM11" i="6"/>
  <c r="AP11" i="6" s="1"/>
  <c r="AO11" i="6"/>
  <c r="AR11" i="6" s="1"/>
  <c r="AN11" i="6"/>
  <c r="AQ11" i="6" s="1"/>
  <c r="AO18" i="6"/>
  <c r="AR18" i="6" s="1"/>
  <c r="AM18" i="6"/>
  <c r="AP18" i="6" s="1"/>
  <c r="AN18" i="6"/>
  <c r="AQ18" i="6" s="1"/>
  <c r="AC22" i="7"/>
  <c r="AF22" i="7" s="1"/>
  <c r="AD22" i="7"/>
  <c r="AG22" i="7" s="1"/>
  <c r="AB22" i="7"/>
  <c r="AE22" i="7" s="1"/>
  <c r="AC21" i="7"/>
  <c r="AF21" i="7" s="1"/>
  <c r="AD21" i="7"/>
  <c r="AG21" i="7" s="1"/>
  <c r="AB21" i="7"/>
  <c r="AE21" i="7" s="1"/>
  <c r="AD25" i="7"/>
  <c r="AG25" i="7" s="1"/>
  <c r="AB25" i="7"/>
  <c r="AE25" i="7" s="1"/>
  <c r="AC25" i="7"/>
  <c r="AF25" i="7" s="1"/>
  <c r="AN13" i="5"/>
  <c r="AQ13" i="5" s="1"/>
  <c r="AO13" i="5"/>
  <c r="AR13" i="5" s="1"/>
  <c r="AM13" i="5"/>
  <c r="AP13" i="5" s="1"/>
  <c r="AM17" i="5"/>
  <c r="AP17" i="5" s="1"/>
  <c r="AO17" i="5"/>
  <c r="AR17" i="5" s="1"/>
  <c r="AN17" i="5"/>
  <c r="AQ17" i="5" s="1"/>
  <c r="AN21" i="5"/>
  <c r="AQ21" i="5" s="1"/>
  <c r="AO21" i="5"/>
  <c r="AR21" i="5" s="1"/>
  <c r="AM21" i="5"/>
  <c r="AP21" i="5" s="1"/>
  <c r="AM19" i="11"/>
  <c r="AP19" i="11" s="1"/>
  <c r="AO19" i="11"/>
  <c r="AR19" i="11" s="1"/>
  <c r="AN19" i="11"/>
  <c r="AQ19" i="11" s="1"/>
  <c r="AN13" i="11"/>
  <c r="AQ13" i="11" s="1"/>
  <c r="AM13" i="11"/>
  <c r="AP13" i="11" s="1"/>
  <c r="AO13" i="11"/>
  <c r="AR13" i="11" s="1"/>
  <c r="AM11" i="9"/>
  <c r="AP11" i="9" s="1"/>
  <c r="AO11" i="9"/>
  <c r="AR11" i="9" s="1"/>
  <c r="AN11" i="9"/>
  <c r="AQ11" i="9" s="1"/>
  <c r="AO15" i="9"/>
  <c r="AR15" i="9" s="1"/>
  <c r="AM15" i="9"/>
  <c r="AP15" i="9" s="1"/>
  <c r="AN15" i="9"/>
  <c r="AQ15" i="9" s="1"/>
  <c r="AM21" i="11"/>
  <c r="AP21" i="11" s="1"/>
  <c r="AN21" i="11"/>
  <c r="AQ21" i="11" s="1"/>
  <c r="AO21" i="11"/>
  <c r="AR21" i="11" s="1"/>
  <c r="AB11" i="12"/>
  <c r="AE11" i="12" s="1"/>
  <c r="AD11" i="12"/>
  <c r="AG11" i="12" s="1"/>
  <c r="AC11" i="12"/>
  <c r="AF11" i="12" s="1"/>
  <c r="AM11" i="10"/>
  <c r="AP11" i="10" s="1"/>
  <c r="AN11" i="10"/>
  <c r="AQ11" i="10" s="1"/>
  <c r="AO11" i="10"/>
  <c r="AR11" i="10" s="1"/>
  <c r="AW12" i="9"/>
  <c r="AW19" i="11"/>
  <c r="AL11" i="12"/>
  <c r="AN16" i="6"/>
  <c r="AQ16" i="6" s="1"/>
  <c r="AM16" i="6"/>
  <c r="AP16" i="6" s="1"/>
  <c r="AO16" i="6"/>
  <c r="AR16" i="6" s="1"/>
  <c r="AB14" i="7"/>
  <c r="AE14" i="7" s="1"/>
  <c r="AD14" i="7"/>
  <c r="AG14" i="7" s="1"/>
  <c r="AC14" i="7"/>
  <c r="AF14" i="7" s="1"/>
  <c r="AO33" i="6"/>
  <c r="AR33" i="6" s="1"/>
  <c r="AM33" i="6"/>
  <c r="AP33" i="6" s="1"/>
  <c r="AN33" i="6"/>
  <c r="AQ33" i="6" s="1"/>
  <c r="AW11" i="9"/>
  <c r="AW14" i="9"/>
  <c r="AW11" i="10"/>
  <c r="AW12" i="10"/>
  <c r="AW20" i="11"/>
  <c r="AL10" i="12"/>
  <c r="AO12" i="6"/>
  <c r="AR12" i="6" s="1"/>
  <c r="AN12" i="6"/>
  <c r="AQ12" i="6" s="1"/>
  <c r="AM12" i="6"/>
  <c r="AP12" i="6" s="1"/>
  <c r="AM14" i="6"/>
  <c r="AP14" i="6" s="1"/>
  <c r="AO14" i="6"/>
  <c r="AR14" i="6" s="1"/>
  <c r="AN14" i="6"/>
  <c r="AQ14" i="6" s="1"/>
  <c r="AM19" i="6"/>
  <c r="AP19" i="6" s="1"/>
  <c r="AO19" i="6"/>
  <c r="AR19" i="6" s="1"/>
  <c r="AN19" i="6"/>
  <c r="AQ19" i="6" s="1"/>
  <c r="AM23" i="6"/>
  <c r="AP23" i="6" s="1"/>
  <c r="AO23" i="6"/>
  <c r="AR23" i="6" s="1"/>
  <c r="AN23" i="6"/>
  <c r="AQ23" i="6" s="1"/>
  <c r="AM26" i="6"/>
  <c r="AP26" i="6" s="1"/>
  <c r="AN26" i="6"/>
  <c r="AQ26" i="6" s="1"/>
  <c r="AO26" i="6"/>
  <c r="AR26" i="6" s="1"/>
  <c r="AO30" i="6"/>
  <c r="AR30" i="6" s="1"/>
  <c r="AM30" i="6"/>
  <c r="AP30" i="6" s="1"/>
  <c r="AN30" i="6"/>
  <c r="AQ30" i="6" s="1"/>
  <c r="AD24" i="7"/>
  <c r="AG24" i="7" s="1"/>
  <c r="AC24" i="7"/>
  <c r="AF24" i="7" s="1"/>
  <c r="AB24" i="7"/>
  <c r="AE24" i="7" s="1"/>
  <c r="AD27" i="7"/>
  <c r="AG27" i="7" s="1"/>
  <c r="AB27" i="7"/>
  <c r="AE27" i="7" s="1"/>
  <c r="AC27" i="7"/>
  <c r="AF27" i="7" s="1"/>
  <c r="AD34" i="7"/>
  <c r="AG34" i="7" s="1"/>
  <c r="AB34" i="7"/>
  <c r="AE34" i="7" s="1"/>
  <c r="AC34" i="7"/>
  <c r="AF34" i="7" s="1"/>
  <c r="AB17" i="7"/>
  <c r="AE17" i="7" s="1"/>
  <c r="AC17" i="7"/>
  <c r="AF17" i="7" s="1"/>
  <c r="AD17" i="7"/>
  <c r="AG17" i="7" s="1"/>
  <c r="AM10" i="5"/>
  <c r="AP10" i="5" s="1"/>
  <c r="AO10" i="5"/>
  <c r="AR10" i="5" s="1"/>
  <c r="AN10" i="5"/>
  <c r="AQ10" i="5" s="1"/>
  <c r="AO14" i="5"/>
  <c r="AR14" i="5" s="1"/>
  <c r="AM14" i="5"/>
  <c r="AP14" i="5" s="1"/>
  <c r="AN14" i="5"/>
  <c r="AQ14" i="5" s="1"/>
  <c r="AN18" i="5"/>
  <c r="AQ18" i="5" s="1"/>
  <c r="AO18" i="5"/>
  <c r="AR18" i="5" s="1"/>
  <c r="AM18" i="5"/>
  <c r="AP18" i="5" s="1"/>
  <c r="AD16" i="7"/>
  <c r="AG16" i="7" s="1"/>
  <c r="AC16" i="7"/>
  <c r="AF16" i="7" s="1"/>
  <c r="AB16" i="7"/>
  <c r="AE16" i="7" s="1"/>
  <c r="AB28" i="7"/>
  <c r="AE28" i="7" s="1"/>
  <c r="AD28" i="7"/>
  <c r="AG28" i="7" s="1"/>
  <c r="AC28" i="7"/>
  <c r="AF28" i="7" s="1"/>
  <c r="AC35" i="7"/>
  <c r="AF35" i="7" s="1"/>
  <c r="AB35" i="7"/>
  <c r="AE35" i="7" s="1"/>
  <c r="AD35" i="7"/>
  <c r="AG35" i="7" s="1"/>
  <c r="AM15" i="11"/>
  <c r="AP15" i="11" s="1"/>
  <c r="AN15" i="11"/>
  <c r="AQ15" i="11" s="1"/>
  <c r="AO15" i="11"/>
  <c r="AR15" i="11" s="1"/>
  <c r="AO12" i="9"/>
  <c r="AR12" i="9" s="1"/>
  <c r="AN12" i="9"/>
  <c r="AQ12" i="9" s="1"/>
  <c r="AM12" i="9"/>
  <c r="AP12" i="9" s="1"/>
  <c r="AO14" i="11"/>
  <c r="AR14" i="11" s="1"/>
  <c r="AM14" i="11"/>
  <c r="AP14" i="11" s="1"/>
  <c r="AN14" i="11"/>
  <c r="AQ14" i="11" s="1"/>
  <c r="AN22" i="11"/>
  <c r="AQ22" i="11" s="1"/>
  <c r="AO22" i="11"/>
  <c r="AR22" i="11" s="1"/>
  <c r="AM22" i="11"/>
  <c r="AP22" i="11" s="1"/>
  <c r="AN11" i="11"/>
  <c r="AQ11" i="11" s="1"/>
  <c r="AO11" i="11"/>
  <c r="AR11" i="11" s="1"/>
  <c r="AM11" i="11"/>
  <c r="AP11" i="11" s="1"/>
  <c r="AB12" i="12"/>
  <c r="AE12" i="12" s="1"/>
  <c r="AD12" i="12"/>
  <c r="AG12" i="12" s="1"/>
  <c r="AC12" i="12"/>
  <c r="AF12" i="12" s="1"/>
  <c r="AO12" i="10"/>
  <c r="AR12" i="10" s="1"/>
  <c r="AM12" i="10"/>
  <c r="AP12" i="10" s="1"/>
  <c r="AN12" i="10"/>
  <c r="AQ12" i="10" s="1"/>
  <c r="AW13" i="9"/>
  <c r="AW15" i="11"/>
  <c r="AW17" i="11"/>
  <c r="AN21" i="6"/>
  <c r="AQ21" i="6" s="1"/>
  <c r="AM21" i="6"/>
  <c r="AP21" i="6" s="1"/>
  <c r="AO21" i="6"/>
  <c r="AR21" i="6" s="1"/>
  <c r="AO29" i="6"/>
  <c r="AR29" i="6" s="1"/>
  <c r="AM29" i="6"/>
  <c r="AP29" i="6" s="1"/>
  <c r="AN29" i="6"/>
  <c r="AQ29" i="6" s="1"/>
  <c r="AB33" i="7"/>
  <c r="AE33" i="7" s="1"/>
  <c r="AD33" i="7"/>
  <c r="AG33" i="7" s="1"/>
  <c r="AC33" i="7"/>
  <c r="AF33" i="7" s="1"/>
  <c r="AD13" i="7"/>
  <c r="AG13" i="7" s="1"/>
  <c r="AC13" i="7"/>
  <c r="AF13" i="7" s="1"/>
  <c r="AB13" i="7"/>
  <c r="AE13" i="7" s="1"/>
  <c r="AW20" i="5"/>
  <c r="AW10" i="10"/>
  <c r="AW14" i="11"/>
  <c r="AL12" i="12"/>
  <c r="AO15" i="6"/>
  <c r="AR15" i="6" s="1"/>
  <c r="AM15" i="6"/>
  <c r="AP15" i="6" s="1"/>
  <c r="AN15" i="6"/>
  <c r="AQ15" i="6" s="1"/>
  <c r="AN20" i="6"/>
  <c r="AQ20" i="6" s="1"/>
  <c r="AM20" i="6"/>
  <c r="AP20" i="6" s="1"/>
  <c r="AO20" i="6"/>
  <c r="AR20" i="6" s="1"/>
  <c r="AO24" i="6"/>
  <c r="AR24" i="6" s="1"/>
  <c r="AM24" i="6"/>
  <c r="AP24" i="6" s="1"/>
  <c r="AN24" i="6"/>
  <c r="AQ24" i="6" s="1"/>
  <c r="AN27" i="6"/>
  <c r="AQ27" i="6" s="1"/>
  <c r="AO27" i="6"/>
  <c r="AR27" i="6" s="1"/>
  <c r="AM27" i="6"/>
  <c r="AP27" i="6" s="1"/>
  <c r="AO31" i="6"/>
  <c r="AR31" i="6" s="1"/>
  <c r="AM31" i="6"/>
  <c r="AP31" i="6" s="1"/>
  <c r="AN31" i="6"/>
  <c r="AQ31" i="6" s="1"/>
  <c r="AB26" i="7"/>
  <c r="AE26" i="7" s="1"/>
  <c r="AD26" i="7"/>
  <c r="AG26" i="7" s="1"/>
  <c r="AC26" i="7"/>
  <c r="AF26" i="7" s="1"/>
  <c r="AO32" i="6"/>
  <c r="AR32" i="6" s="1"/>
  <c r="AM32" i="6"/>
  <c r="AP32" i="6" s="1"/>
  <c r="AN32" i="6"/>
  <c r="AQ32" i="6" s="1"/>
  <c r="AB18" i="7"/>
  <c r="AE18" i="7" s="1"/>
  <c r="AD18" i="7"/>
  <c r="AG18" i="7" s="1"/>
  <c r="AC18" i="7"/>
  <c r="AF18" i="7" s="1"/>
  <c r="AB29" i="7"/>
  <c r="AE29" i="7" s="1"/>
  <c r="AD29" i="7"/>
  <c r="AG29" i="7" s="1"/>
  <c r="AC29" i="7"/>
  <c r="AF29" i="7" s="1"/>
  <c r="AM10" i="6"/>
  <c r="AP10" i="6" s="1"/>
  <c r="AN10" i="6"/>
  <c r="AQ10" i="6" s="1"/>
  <c r="AO10" i="6"/>
  <c r="AR10" i="6" s="1"/>
  <c r="AO11" i="5"/>
  <c r="AR11" i="5" s="1"/>
  <c r="AM11" i="5"/>
  <c r="AP11" i="5" s="1"/>
  <c r="AN11" i="5"/>
  <c r="AQ11" i="5" s="1"/>
  <c r="AO15" i="5"/>
  <c r="AR15" i="5" s="1"/>
  <c r="AN15" i="5"/>
  <c r="AQ15" i="5" s="1"/>
  <c r="AM15" i="5"/>
  <c r="AP15" i="5" s="1"/>
  <c r="AO19" i="5"/>
  <c r="AR19" i="5" s="1"/>
  <c r="AN19" i="5"/>
  <c r="AQ19" i="5" s="1"/>
  <c r="AM19" i="5"/>
  <c r="AP19" i="5" s="1"/>
  <c r="AB19" i="7"/>
  <c r="AE19" i="7" s="1"/>
  <c r="AD19" i="7"/>
  <c r="AG19" i="7" s="1"/>
  <c r="AC19" i="7"/>
  <c r="AF19" i="7" s="1"/>
  <c r="AD30" i="7"/>
  <c r="AG30" i="7" s="1"/>
  <c r="AB30" i="7"/>
  <c r="AE30" i="7" s="1"/>
  <c r="AC30" i="7"/>
  <c r="AF30" i="7" s="1"/>
  <c r="X10" i="8"/>
  <c r="AA10" i="8" s="1"/>
  <c r="Y10" i="8"/>
  <c r="AB10" i="8" s="1"/>
  <c r="W10" i="8"/>
  <c r="Z10" i="8" s="1"/>
  <c r="AM20" i="5"/>
  <c r="AP20" i="5" s="1"/>
  <c r="AN20" i="5"/>
  <c r="AQ20" i="5" s="1"/>
  <c r="AO20" i="5"/>
  <c r="AR20" i="5" s="1"/>
  <c r="AN16" i="11"/>
  <c r="AQ16" i="11" s="1"/>
  <c r="AO16" i="11"/>
  <c r="AR16" i="11" s="1"/>
  <c r="AM16" i="11"/>
  <c r="AP16" i="11" s="1"/>
  <c r="AO13" i="9"/>
  <c r="AR13" i="9" s="1"/>
  <c r="AN13" i="9"/>
  <c r="AQ13" i="9" s="1"/>
  <c r="AM13" i="9"/>
  <c r="AP13" i="9" s="1"/>
  <c r="AM17" i="11"/>
  <c r="AP17" i="11" s="1"/>
  <c r="AO17" i="11"/>
  <c r="AR17" i="11" s="1"/>
  <c r="AN17" i="11"/>
  <c r="AQ17" i="11" s="1"/>
  <c r="AM12" i="11"/>
  <c r="AP12" i="11" s="1"/>
  <c r="AO12" i="11"/>
  <c r="AR12" i="11" s="1"/>
  <c r="AN12" i="11"/>
  <c r="AQ12" i="11" s="1"/>
  <c r="AB13" i="12"/>
  <c r="AE13" i="12" s="1"/>
  <c r="AD13" i="12"/>
  <c r="AG13" i="12" s="1"/>
  <c r="AC13" i="12"/>
  <c r="AF13" i="12" s="1"/>
  <c r="AM13" i="10"/>
  <c r="AP13" i="10" s="1"/>
  <c r="AO13" i="10"/>
  <c r="AR13" i="10" s="1"/>
  <c r="AN13" i="10"/>
  <c r="AQ13" i="10" s="1"/>
  <c r="AW11" i="11"/>
  <c r="AW12" i="11"/>
  <c r="AW13" i="11"/>
  <c r="AW16" i="11"/>
  <c r="AW22" i="11"/>
  <c r="AM13" i="6"/>
  <c r="AP13" i="6" s="1"/>
  <c r="AN13" i="6"/>
  <c r="AQ13" i="6" s="1"/>
  <c r="AO13" i="6"/>
  <c r="AR13" i="6" s="1"/>
  <c r="AM17" i="6"/>
  <c r="AP17" i="6" s="1"/>
  <c r="AO17" i="6"/>
  <c r="AR17" i="6" s="1"/>
  <c r="AN17" i="6"/>
  <c r="AQ17" i="6" s="1"/>
  <c r="AO22" i="6"/>
  <c r="AR22" i="6" s="1"/>
  <c r="AM22" i="6"/>
  <c r="AP22" i="6" s="1"/>
  <c r="AN22" i="6"/>
  <c r="AQ22" i="6" s="1"/>
  <c r="AM25" i="6"/>
  <c r="AP25" i="6" s="1"/>
  <c r="AO25" i="6"/>
  <c r="AR25" i="6" s="1"/>
  <c r="AN25" i="6"/>
  <c r="AQ25" i="6" s="1"/>
  <c r="AO28" i="6"/>
  <c r="AR28" i="6" s="1"/>
  <c r="AM28" i="6"/>
  <c r="AP28" i="6" s="1"/>
  <c r="AN28" i="6"/>
  <c r="AQ28" i="6" s="1"/>
  <c r="AC11" i="7"/>
  <c r="AF11" i="7" s="1"/>
  <c r="AB11" i="7"/>
  <c r="AE11" i="7" s="1"/>
  <c r="AD11" i="7"/>
  <c r="AG11" i="7" s="1"/>
  <c r="AN34" i="6"/>
  <c r="AQ34" i="6" s="1"/>
  <c r="AO34" i="6"/>
  <c r="AR34" i="6" s="1"/>
  <c r="AM34" i="6"/>
  <c r="AP34" i="6" s="1"/>
  <c r="AD10" i="7"/>
  <c r="AG10" i="7" s="1"/>
  <c r="AC10" i="7"/>
  <c r="AF10" i="7" s="1"/>
  <c r="AB10" i="7"/>
  <c r="AE10" i="7" s="1"/>
  <c r="AB20" i="7"/>
  <c r="AE20" i="7" s="1"/>
  <c r="AC20" i="7"/>
  <c r="AF20" i="7" s="1"/>
  <c r="AD20" i="7"/>
  <c r="AG20" i="7" s="1"/>
  <c r="AC31" i="7"/>
  <c r="AF31" i="7" s="1"/>
  <c r="AB31" i="7"/>
  <c r="AE31" i="7" s="1"/>
  <c r="AD31" i="7"/>
  <c r="AG31" i="7" s="1"/>
  <c r="AB15" i="7"/>
  <c r="AE15" i="7" s="1"/>
  <c r="AD15" i="7"/>
  <c r="AG15" i="7" s="1"/>
  <c r="AC15" i="7"/>
  <c r="AF15" i="7" s="1"/>
  <c r="AD23" i="7"/>
  <c r="AG23" i="7" s="1"/>
  <c r="AC23" i="7"/>
  <c r="AF23" i="7" s="1"/>
  <c r="AB23" i="7"/>
  <c r="AE23" i="7" s="1"/>
  <c r="AN12" i="5"/>
  <c r="AQ12" i="5" s="1"/>
  <c r="AO12" i="5"/>
  <c r="AR12" i="5" s="1"/>
  <c r="AM12" i="5"/>
  <c r="AP12" i="5" s="1"/>
  <c r="AO16" i="5"/>
  <c r="AR16" i="5" s="1"/>
  <c r="AM16" i="5"/>
  <c r="AP16" i="5" s="1"/>
  <c r="AN16" i="5"/>
  <c r="AQ16" i="5" s="1"/>
  <c r="AD12" i="7"/>
  <c r="AG12" i="7" s="1"/>
  <c r="AB12" i="7"/>
  <c r="AE12" i="7" s="1"/>
  <c r="AC12" i="7"/>
  <c r="AF12" i="7" s="1"/>
  <c r="AD32" i="7"/>
  <c r="AG32" i="7" s="1"/>
  <c r="AB32" i="7"/>
  <c r="AE32" i="7" s="1"/>
  <c r="AC32" i="7"/>
  <c r="AF32" i="7" s="1"/>
  <c r="AN22" i="5"/>
  <c r="AQ22" i="5" s="1"/>
  <c r="AO22" i="5"/>
  <c r="AR22" i="5" s="1"/>
  <c r="AM22" i="5"/>
  <c r="AP22" i="5" s="1"/>
  <c r="AM10" i="11"/>
  <c r="AP10" i="11" s="1"/>
  <c r="AN10" i="11"/>
  <c r="AQ10" i="11" s="1"/>
  <c r="AO10" i="11"/>
  <c r="AR10" i="11" s="1"/>
  <c r="AM10" i="9"/>
  <c r="AP10" i="9" s="1"/>
  <c r="AN10" i="9"/>
  <c r="AQ10" i="9" s="1"/>
  <c r="AO10" i="9"/>
  <c r="AR10" i="9" s="1"/>
  <c r="AM14" i="9"/>
  <c r="AP14" i="9" s="1"/>
  <c r="AO14" i="9"/>
  <c r="AR14" i="9" s="1"/>
  <c r="AN14" i="9"/>
  <c r="AQ14" i="9" s="1"/>
  <c r="AN20" i="11"/>
  <c r="AQ20" i="11" s="1"/>
  <c r="AM20" i="11"/>
  <c r="AP20" i="11" s="1"/>
  <c r="AO20" i="11"/>
  <c r="AR20" i="11" s="1"/>
  <c r="AB10" i="12"/>
  <c r="AE10" i="12" s="1"/>
  <c r="AD10" i="12"/>
  <c r="AG10" i="12" s="1"/>
  <c r="AC10" i="12"/>
  <c r="AF10" i="12" s="1"/>
  <c r="AM10" i="10"/>
  <c r="AP10" i="10" s="1"/>
  <c r="AO10" i="10"/>
  <c r="AR10" i="10" s="1"/>
  <c r="AN10" i="10"/>
  <c r="AQ10" i="10" s="1"/>
  <c r="AM18" i="11"/>
  <c r="AP18" i="11" s="1"/>
  <c r="AO18" i="11"/>
  <c r="AR18" i="11" s="1"/>
  <c r="AN18" i="11"/>
  <c r="AQ18" i="11" s="1"/>
  <c r="AW10" i="6"/>
  <c r="AW31" i="6"/>
  <c r="AW11" i="5"/>
  <c r="AW32" i="6"/>
  <c r="AW34" i="6"/>
  <c r="AW25" i="6"/>
  <c r="AW19" i="5"/>
  <c r="AW22" i="6"/>
  <c r="AW18" i="6"/>
  <c r="AW12" i="5"/>
  <c r="AW12" i="6"/>
  <c r="AW10" i="5"/>
  <c r="AW26" i="6"/>
  <c r="AW17" i="6"/>
  <c r="AW13" i="6"/>
  <c r="AW33" i="6"/>
  <c r="AW18" i="5"/>
  <c r="AW14" i="5"/>
  <c r="AW16" i="5"/>
  <c r="AW28" i="6"/>
  <c r="AW20" i="6"/>
  <c r="AW27" i="6"/>
  <c r="AW15" i="5"/>
  <c r="AW19" i="6"/>
  <c r="AW14" i="6"/>
  <c r="AW15" i="6"/>
  <c r="AW13" i="5"/>
  <c r="AW16" i="6"/>
  <c r="AW30" i="6"/>
  <c r="AW23" i="6"/>
  <c r="AW24" i="6"/>
  <c r="AW17" i="5"/>
  <c r="AW21" i="6"/>
  <c r="AW29" i="6"/>
  <c r="AW11" i="6"/>
  <c r="AL23" i="7"/>
  <c r="AL24" i="7"/>
  <c r="AL12" i="7"/>
  <c r="AL14" i="7"/>
  <c r="AL30" i="7"/>
  <c r="AL20" i="7"/>
  <c r="AL33" i="7"/>
  <c r="AL35" i="7"/>
  <c r="AL10" i="7"/>
  <c r="AL16" i="7"/>
  <c r="AL27" i="7"/>
  <c r="AL21" i="7"/>
  <c r="AL18" i="7"/>
  <c r="AL31" i="7"/>
  <c r="AQ10" i="8"/>
  <c r="AL22" i="7"/>
  <c r="AL29" i="7"/>
  <c r="AL15" i="7"/>
  <c r="AL26" i="7"/>
  <c r="AL25" i="7"/>
  <c r="AL13" i="7"/>
  <c r="AL28" i="7"/>
  <c r="AL17" i="7"/>
  <c r="AL19" i="7"/>
  <c r="AL11" i="7"/>
  <c r="AL34" i="7"/>
  <c r="AL32" i="7"/>
  <c r="S15" i="6"/>
  <c r="AO18" i="4"/>
  <c r="AR18" i="4" s="1"/>
  <c r="AM18" i="4"/>
  <c r="AP18" i="4" s="1"/>
  <c r="AN18" i="4"/>
  <c r="AQ18" i="4" s="1"/>
  <c r="AO13" i="4"/>
  <c r="AR13" i="4" s="1"/>
  <c r="AN13" i="4"/>
  <c r="AQ13" i="4" s="1"/>
  <c r="AM13" i="4"/>
  <c r="AP13" i="4" s="1"/>
  <c r="AO11" i="4"/>
  <c r="AR11" i="4" s="1"/>
  <c r="AM11" i="4"/>
  <c r="AP11" i="4" s="1"/>
  <c r="AN11" i="4"/>
  <c r="AQ11" i="4" s="1"/>
  <c r="AO10" i="4"/>
  <c r="AR10" i="4" s="1"/>
  <c r="AM10" i="4"/>
  <c r="AP10" i="4" s="1"/>
  <c r="AN10" i="4"/>
  <c r="AQ10" i="4" s="1"/>
  <c r="AO17" i="4"/>
  <c r="AR17" i="4" s="1"/>
  <c r="AN17" i="4"/>
  <c r="AQ17" i="4" s="1"/>
  <c r="AM17" i="4"/>
  <c r="AP17" i="4" s="1"/>
  <c r="S12" i="4"/>
  <c r="AO15" i="4"/>
  <c r="AR15" i="4" s="1"/>
  <c r="AN15" i="4"/>
  <c r="AQ15" i="4" s="1"/>
  <c r="AM15" i="4"/>
  <c r="AP15" i="4" s="1"/>
  <c r="AW10" i="4"/>
  <c r="AO14" i="4"/>
  <c r="AR14" i="4" s="1"/>
  <c r="AM14" i="4"/>
  <c r="AP14" i="4" s="1"/>
  <c r="AN14" i="4"/>
  <c r="AQ14" i="4" s="1"/>
  <c r="AO12" i="4"/>
  <c r="AR12" i="4" s="1"/>
  <c r="AN12" i="4"/>
  <c r="AQ12" i="4" s="1"/>
  <c r="AM12" i="4"/>
  <c r="AP12" i="4" s="1"/>
  <c r="AO16" i="4"/>
  <c r="AR16" i="4" s="1"/>
  <c r="AN16" i="4"/>
  <c r="AQ16" i="4" s="1"/>
  <c r="AM16" i="4"/>
  <c r="AP16" i="4" s="1"/>
  <c r="AT13" i="14" l="1"/>
  <c r="AU13" i="14" s="1"/>
  <c r="AF13" i="14"/>
  <c r="AV13" i="14" s="1"/>
  <c r="AF14" i="14"/>
  <c r="AV14" i="14" s="1"/>
  <c r="AT14" i="14"/>
  <c r="AU14" i="14" s="1"/>
  <c r="AS20" i="4"/>
  <c r="AD10" i="14"/>
  <c r="AE10" i="14" s="1"/>
  <c r="O30" i="13"/>
  <c r="O7" i="13"/>
  <c r="AC13" i="8"/>
  <c r="AD13" i="8" s="1"/>
  <c r="AE13" i="8" s="1"/>
  <c r="AC20" i="8"/>
  <c r="AD20" i="8" s="1"/>
  <c r="AE20" i="8" s="1"/>
  <c r="O19" i="13"/>
  <c r="AD15" i="14"/>
  <c r="AE15" i="14" s="1"/>
  <c r="O8" i="13"/>
  <c r="AC23" i="8"/>
  <c r="AD23" i="8" s="1"/>
  <c r="AE23" i="8" s="1"/>
  <c r="AC14" i="8"/>
  <c r="AD14" i="8" s="1"/>
  <c r="AE14" i="8" s="1"/>
  <c r="AU23" i="4"/>
  <c r="BB23" i="4" s="1"/>
  <c r="AZ23" i="4"/>
  <c r="BA23" i="4" s="1"/>
  <c r="AS37" i="4"/>
  <c r="AT32" i="4"/>
  <c r="AC18" i="8"/>
  <c r="AD18" i="8" s="1"/>
  <c r="AE18" i="8" s="1"/>
  <c r="AS29" i="4"/>
  <c r="AT35" i="4"/>
  <c r="AT24" i="4"/>
  <c r="AS21" i="4"/>
  <c r="AD11" i="14"/>
  <c r="AE11" i="14" s="1"/>
  <c r="AZ38" i="4"/>
  <c r="BA38" i="4" s="1"/>
  <c r="AU38" i="4"/>
  <c r="BB38" i="4" s="1"/>
  <c r="AT26" i="4"/>
  <c r="AT27" i="4"/>
  <c r="AS19" i="4"/>
  <c r="AT30" i="4"/>
  <c r="O10" i="13"/>
  <c r="AC12" i="8"/>
  <c r="AD12" i="8" s="1"/>
  <c r="AE12" i="8" s="1"/>
  <c r="AS33" i="4"/>
  <c r="O17" i="13"/>
  <c r="AT28" i="4"/>
  <c r="AC11" i="8"/>
  <c r="AD11" i="8" s="1"/>
  <c r="AE11" i="8" s="1"/>
  <c r="AT34" i="4"/>
  <c r="O28" i="13"/>
  <c r="AT22" i="4"/>
  <c r="O6" i="13"/>
  <c r="AS25" i="4"/>
  <c r="AC17" i="8"/>
  <c r="AD17" i="8" s="1"/>
  <c r="AE17" i="8" s="1"/>
  <c r="O24" i="13"/>
  <c r="AS36" i="4"/>
  <c r="O11" i="13"/>
  <c r="AS39" i="4"/>
  <c r="AD12" i="14"/>
  <c r="AE12" i="14" s="1"/>
  <c r="O33" i="13"/>
  <c r="AT31" i="4"/>
  <c r="AS12" i="5"/>
  <c r="AS13" i="11"/>
  <c r="AT13" i="11" s="1"/>
  <c r="AS16" i="5"/>
  <c r="AS11" i="5"/>
  <c r="AT11" i="5" s="1"/>
  <c r="AS15" i="11"/>
  <c r="AT15" i="11" s="1"/>
  <c r="AS20" i="11"/>
  <c r="AS11" i="10"/>
  <c r="AT11" i="10" s="1"/>
  <c r="AS13" i="5"/>
  <c r="AT13" i="5" s="1"/>
  <c r="AS10" i="10"/>
  <c r="AS10" i="5"/>
  <c r="AT10" i="5" s="1"/>
  <c r="AS15" i="9"/>
  <c r="AT15" i="9" s="1"/>
  <c r="AH10" i="12"/>
  <c r="AI10" i="12" s="1"/>
  <c r="AH13" i="12"/>
  <c r="AI13" i="12" s="1"/>
  <c r="AH21" i="7"/>
  <c r="AI21" i="7" s="1"/>
  <c r="AH25" i="7"/>
  <c r="AI25" i="7" s="1"/>
  <c r="AH31" i="7"/>
  <c r="AI31" i="7" s="1"/>
  <c r="AH29" i="7"/>
  <c r="AI29" i="7" s="1"/>
  <c r="AH15" i="7"/>
  <c r="AI15" i="7" s="1"/>
  <c r="AH28" i="7"/>
  <c r="AI28" i="7" s="1"/>
  <c r="AH30" i="7"/>
  <c r="AI30" i="7" s="1"/>
  <c r="AH16" i="7"/>
  <c r="AI16" i="7" s="1"/>
  <c r="AH34" i="7"/>
  <c r="AI34" i="7" s="1"/>
  <c r="AH22" i="7"/>
  <c r="AI22" i="7" s="1"/>
  <c r="AS27" i="6"/>
  <c r="AS12" i="6"/>
  <c r="AT12" i="6" s="1"/>
  <c r="AS28" i="6"/>
  <c r="AS25" i="6"/>
  <c r="AS24" i="6"/>
  <c r="AT24" i="6" s="1"/>
  <c r="AS15" i="6"/>
  <c r="AT15" i="6" s="1"/>
  <c r="AS22" i="6"/>
  <c r="AT22" i="6" s="1"/>
  <c r="AS18" i="6"/>
  <c r="AT18" i="6" s="1"/>
  <c r="AS11" i="6"/>
  <c r="AT11" i="6" s="1"/>
  <c r="AS30" i="6"/>
  <c r="AT30" i="6" s="1"/>
  <c r="AS13" i="6"/>
  <c r="AT13" i="6" s="1"/>
  <c r="AS31" i="6"/>
  <c r="AT31" i="6" s="1"/>
  <c r="AS20" i="6"/>
  <c r="AT20" i="6" s="1"/>
  <c r="AS10" i="11"/>
  <c r="AT10" i="11" s="1"/>
  <c r="AS22" i="5"/>
  <c r="AT22" i="5" s="1"/>
  <c r="AH20" i="7"/>
  <c r="AI20" i="7" s="1"/>
  <c r="AS34" i="6"/>
  <c r="AT34" i="6" s="1"/>
  <c r="AS17" i="11"/>
  <c r="AT17" i="11" s="1"/>
  <c r="AS16" i="11"/>
  <c r="AT16" i="11" s="1"/>
  <c r="AC10" i="8"/>
  <c r="AD10" i="8" s="1"/>
  <c r="AH19" i="7"/>
  <c r="AI19" i="7" s="1"/>
  <c r="AS15" i="5"/>
  <c r="AT15" i="5" s="1"/>
  <c r="AH33" i="7"/>
  <c r="AI33" i="7" s="1"/>
  <c r="AS21" i="6"/>
  <c r="AT21" i="6" s="1"/>
  <c r="AS11" i="11"/>
  <c r="AT11" i="11" s="1"/>
  <c r="AH17" i="7"/>
  <c r="AI17" i="7" s="1"/>
  <c r="AS26" i="6"/>
  <c r="AT26" i="6" s="1"/>
  <c r="AS14" i="9"/>
  <c r="AT14" i="9" s="1"/>
  <c r="AS10" i="9"/>
  <c r="AT10" i="9" s="1"/>
  <c r="AH12" i="7"/>
  <c r="AI12" i="7" s="1"/>
  <c r="AH23" i="7"/>
  <c r="AI23" i="7" s="1"/>
  <c r="AH10" i="7"/>
  <c r="AI10" i="7" s="1"/>
  <c r="AS13" i="9"/>
  <c r="AT13" i="9" s="1"/>
  <c r="AS19" i="5"/>
  <c r="AT19" i="5" s="1"/>
  <c r="AH18" i="7"/>
  <c r="AI18" i="7" s="1"/>
  <c r="AS29" i="6"/>
  <c r="AT29" i="6" s="1"/>
  <c r="AS12" i="9"/>
  <c r="AT12" i="9" s="1"/>
  <c r="AH35" i="7"/>
  <c r="AI35" i="7" s="1"/>
  <c r="AS18" i="5"/>
  <c r="AT18" i="5" s="1"/>
  <c r="AS14" i="5"/>
  <c r="AT14" i="5" s="1"/>
  <c r="AH27" i="7"/>
  <c r="AI27" i="7" s="1"/>
  <c r="AH24" i="7"/>
  <c r="AI24" i="7" s="1"/>
  <c r="AS19" i="6"/>
  <c r="AT19" i="6" s="1"/>
  <c r="AS33" i="6"/>
  <c r="AT33" i="6" s="1"/>
  <c r="AH14" i="7"/>
  <c r="AI14" i="7" s="1"/>
  <c r="AS21" i="11"/>
  <c r="AT21" i="11" s="1"/>
  <c r="AS19" i="11"/>
  <c r="AT19" i="11" s="1"/>
  <c r="AS16" i="6"/>
  <c r="AT16" i="6" s="1"/>
  <c r="AS21" i="5"/>
  <c r="AT21" i="5" s="1"/>
  <c r="AS17" i="5"/>
  <c r="AT17" i="5" s="1"/>
  <c r="AS18" i="11"/>
  <c r="AT18" i="11" s="1"/>
  <c r="AH32" i="7"/>
  <c r="AI32" i="7" s="1"/>
  <c r="AH11" i="7"/>
  <c r="AI11" i="7" s="1"/>
  <c r="AS17" i="6"/>
  <c r="AT17" i="6" s="1"/>
  <c r="AS13" i="10"/>
  <c r="AT13" i="10" s="1"/>
  <c r="AS12" i="11"/>
  <c r="AT12" i="11" s="1"/>
  <c r="AS20" i="5"/>
  <c r="AT20" i="5" s="1"/>
  <c r="AS10" i="6"/>
  <c r="AT10" i="6" s="1"/>
  <c r="AS32" i="6"/>
  <c r="AT32" i="6" s="1"/>
  <c r="AH26" i="7"/>
  <c r="AI26" i="7" s="1"/>
  <c r="AH13" i="7"/>
  <c r="AI13" i="7" s="1"/>
  <c r="AS12" i="10"/>
  <c r="AT12" i="10" s="1"/>
  <c r="AH12" i="12"/>
  <c r="AI12" i="12" s="1"/>
  <c r="AS22" i="11"/>
  <c r="AT22" i="11" s="1"/>
  <c r="AS14" i="11"/>
  <c r="AT14" i="11" s="1"/>
  <c r="AS23" i="6"/>
  <c r="AT23" i="6" s="1"/>
  <c r="AS14" i="6"/>
  <c r="AT14" i="6" s="1"/>
  <c r="AH11" i="12"/>
  <c r="AI11" i="12" s="1"/>
  <c r="AS11" i="9"/>
  <c r="AT11" i="9" s="1"/>
  <c r="AS12" i="4"/>
  <c r="AS13" i="4"/>
  <c r="AS11" i="4"/>
  <c r="AT11" i="4" s="1"/>
  <c r="AS16" i="4"/>
  <c r="AT16" i="4" s="1"/>
  <c r="AS17" i="4"/>
  <c r="AT17" i="4" s="1"/>
  <c r="AS14" i="4"/>
  <c r="AT14" i="4" s="1"/>
  <c r="AS15" i="4"/>
  <c r="AT15" i="4" s="1"/>
  <c r="AS18" i="4"/>
  <c r="AT18" i="4" s="1"/>
  <c r="AS10" i="4"/>
  <c r="AT10" i="4" s="1"/>
  <c r="S13" i="4"/>
  <c r="AY21" i="4" l="1"/>
  <c r="AT21" i="4"/>
  <c r="AU34" i="4"/>
  <c r="BB34" i="4" s="1"/>
  <c r="AZ34" i="4"/>
  <c r="BA34" i="4" s="1"/>
  <c r="AY19" i="4"/>
  <c r="AT19" i="4"/>
  <c r="AZ35" i="4"/>
  <c r="BA35" i="4" s="1"/>
  <c r="AU35" i="4"/>
  <c r="BB35" i="4" s="1"/>
  <c r="AT10" i="14"/>
  <c r="AU10" i="14" s="1"/>
  <c r="AF10" i="14"/>
  <c r="AV10" i="14" s="1"/>
  <c r="AU24" i="4"/>
  <c r="BB24" i="4" s="1"/>
  <c r="AZ24" i="4"/>
  <c r="BA24" i="4" s="1"/>
  <c r="AY36" i="4"/>
  <c r="AT36" i="4"/>
  <c r="AZ27" i="4"/>
  <c r="BA27" i="4" s="1"/>
  <c r="AU27" i="4"/>
  <c r="BB27" i="4" s="1"/>
  <c r="AY29" i="4"/>
  <c r="AT29" i="4"/>
  <c r="AY20" i="4"/>
  <c r="AT20" i="4"/>
  <c r="AU28" i="4"/>
  <c r="BB28" i="4" s="1"/>
  <c r="AZ28" i="4"/>
  <c r="BA28" i="4" s="1"/>
  <c r="AZ26" i="4"/>
  <c r="BA26" i="4" s="1"/>
  <c r="AU26" i="4"/>
  <c r="BB26" i="4" s="1"/>
  <c r="AT15" i="14"/>
  <c r="AU15" i="14" s="1"/>
  <c r="AF15" i="14"/>
  <c r="AV15" i="14" s="1"/>
  <c r="AU22" i="4"/>
  <c r="BB22" i="4" s="1"/>
  <c r="AZ22" i="4"/>
  <c r="BA22" i="4" s="1"/>
  <c r="AY39" i="4"/>
  <c r="AT39" i="4"/>
  <c r="AU30" i="4"/>
  <c r="BB30" i="4" s="1"/>
  <c r="AZ30" i="4"/>
  <c r="BA30" i="4" s="1"/>
  <c r="AU32" i="4"/>
  <c r="BB32" i="4" s="1"/>
  <c r="AZ32" i="4"/>
  <c r="BA32" i="4" s="1"/>
  <c r="AT12" i="14"/>
  <c r="AU12" i="14" s="1"/>
  <c r="AF12" i="14"/>
  <c r="AV12" i="14" s="1"/>
  <c r="AU31" i="4"/>
  <c r="BB31" i="4" s="1"/>
  <c r="AZ31" i="4"/>
  <c r="BA31" i="4" s="1"/>
  <c r="AY25" i="4"/>
  <c r="AT25" i="4"/>
  <c r="AY33" i="4"/>
  <c r="AT33" i="4"/>
  <c r="AY37" i="4"/>
  <c r="AT37" i="4"/>
  <c r="AT11" i="14"/>
  <c r="AU11" i="14" s="1"/>
  <c r="AF11" i="14"/>
  <c r="AV11" i="14" s="1"/>
  <c r="AY13" i="4"/>
  <c r="AT13" i="4"/>
  <c r="AZ13" i="4" s="1"/>
  <c r="BA13" i="4" s="1"/>
  <c r="AY20" i="11"/>
  <c r="AT20" i="11"/>
  <c r="AZ20" i="11" s="1"/>
  <c r="BA20" i="11" s="1"/>
  <c r="AY12" i="4"/>
  <c r="AT12" i="4"/>
  <c r="AZ12" i="4" s="1"/>
  <c r="BA12" i="4" s="1"/>
  <c r="AY27" i="6"/>
  <c r="AT27" i="6"/>
  <c r="AZ27" i="6" s="1"/>
  <c r="BA27" i="6" s="1"/>
  <c r="AY10" i="10"/>
  <c r="AT10" i="10"/>
  <c r="AZ10" i="10" s="1"/>
  <c r="BA10" i="10" s="1"/>
  <c r="AY25" i="6"/>
  <c r="AT25" i="6"/>
  <c r="AZ25" i="6" s="1"/>
  <c r="BA25" i="6" s="1"/>
  <c r="AY12" i="5"/>
  <c r="AT12" i="5"/>
  <c r="AU12" i="5" s="1"/>
  <c r="BB12" i="5" s="1"/>
  <c r="AY28" i="6"/>
  <c r="AT28" i="6"/>
  <c r="AZ28" i="6" s="1"/>
  <c r="BA28" i="6" s="1"/>
  <c r="AU18" i="8"/>
  <c r="AU17" i="8"/>
  <c r="AY16" i="5"/>
  <c r="AT16" i="5"/>
  <c r="AZ16" i="5" s="1"/>
  <c r="BA16" i="5" s="1"/>
  <c r="AM13" i="12"/>
  <c r="AY13" i="11"/>
  <c r="AY15" i="9"/>
  <c r="AY13" i="5"/>
  <c r="AY11" i="10"/>
  <c r="AZ12" i="5"/>
  <c r="BA12" i="5" s="1"/>
  <c r="AY15" i="11"/>
  <c r="AY11" i="5"/>
  <c r="AY10" i="5"/>
  <c r="AM10" i="12"/>
  <c r="AN10" i="12"/>
  <c r="AO10" i="12" s="1"/>
  <c r="AM21" i="7"/>
  <c r="AM25" i="7"/>
  <c r="AM31" i="7"/>
  <c r="AM30" i="7"/>
  <c r="AM22" i="7"/>
  <c r="AM28" i="7"/>
  <c r="AM34" i="7"/>
  <c r="AM15" i="7"/>
  <c r="AM16" i="7"/>
  <c r="AM29" i="7"/>
  <c r="AY12" i="6"/>
  <c r="AY13" i="6"/>
  <c r="AY11" i="6"/>
  <c r="AY18" i="6"/>
  <c r="AZ18" i="6"/>
  <c r="BA18" i="6" s="1"/>
  <c r="AY15" i="6"/>
  <c r="AY20" i="6"/>
  <c r="AZ20" i="6"/>
  <c r="BA20" i="6" s="1"/>
  <c r="AY22" i="6"/>
  <c r="AZ22" i="6"/>
  <c r="BA22" i="6" s="1"/>
  <c r="AY24" i="6"/>
  <c r="AZ24" i="6"/>
  <c r="BA24" i="6" s="1"/>
  <c r="AY31" i="6"/>
  <c r="AZ31" i="6"/>
  <c r="BA31" i="6" s="1"/>
  <c r="AY30" i="6"/>
  <c r="AZ30" i="6"/>
  <c r="BA30" i="6" s="1"/>
  <c r="AU25" i="8"/>
  <c r="AS25" i="8"/>
  <c r="AT25" i="8" s="1"/>
  <c r="AM11" i="12"/>
  <c r="AY14" i="11"/>
  <c r="AY32" i="6"/>
  <c r="AZ32" i="6"/>
  <c r="BA32" i="6" s="1"/>
  <c r="AY20" i="5"/>
  <c r="AY17" i="6"/>
  <c r="AZ17" i="6"/>
  <c r="BA17" i="6" s="1"/>
  <c r="AU15" i="8"/>
  <c r="AS15" i="8"/>
  <c r="AT15" i="8" s="1"/>
  <c r="AY16" i="6"/>
  <c r="AZ16" i="6"/>
  <c r="BA16" i="6" s="1"/>
  <c r="AY21" i="11"/>
  <c r="AY14" i="5"/>
  <c r="AY12" i="9"/>
  <c r="AM18" i="7"/>
  <c r="AM23" i="7"/>
  <c r="AY10" i="9"/>
  <c r="AY26" i="6"/>
  <c r="AZ26" i="6"/>
  <c r="BA26" i="6" s="1"/>
  <c r="AY11" i="11"/>
  <c r="AU21" i="8"/>
  <c r="AS21" i="8"/>
  <c r="AT21" i="8" s="1"/>
  <c r="AY10" i="11"/>
  <c r="AY11" i="9"/>
  <c r="AU16" i="8"/>
  <c r="AS16" i="8"/>
  <c r="AT16" i="8" s="1"/>
  <c r="AY22" i="11"/>
  <c r="AM13" i="7"/>
  <c r="AY10" i="6"/>
  <c r="AM11" i="7"/>
  <c r="AU23" i="8"/>
  <c r="AS23" i="8"/>
  <c r="AT23" i="8" s="1"/>
  <c r="AY17" i="5"/>
  <c r="AN13" i="12"/>
  <c r="AO13" i="12" s="1"/>
  <c r="AJ13" i="12"/>
  <c r="AP13" i="12" s="1"/>
  <c r="AM14" i="7"/>
  <c r="AM24" i="7"/>
  <c r="AY18" i="5"/>
  <c r="AY29" i="6"/>
  <c r="AZ29" i="6"/>
  <c r="BA29" i="6" s="1"/>
  <c r="AY19" i="5"/>
  <c r="AM12" i="7"/>
  <c r="AY14" i="9"/>
  <c r="AM17" i="7"/>
  <c r="AY21" i="6"/>
  <c r="AZ21" i="6"/>
  <c r="BA21" i="6" s="1"/>
  <c r="AY15" i="5"/>
  <c r="AY34" i="6"/>
  <c r="AZ34" i="6"/>
  <c r="BA34" i="6" s="1"/>
  <c r="AY14" i="6"/>
  <c r="AU11" i="8"/>
  <c r="AS11" i="8"/>
  <c r="AT11" i="8" s="1"/>
  <c r="AM12" i="12"/>
  <c r="AY12" i="11"/>
  <c r="AM32" i="7"/>
  <c r="AY18" i="11"/>
  <c r="AY33" i="6"/>
  <c r="AZ33" i="6"/>
  <c r="BA33" i="6" s="1"/>
  <c r="AM35" i="7"/>
  <c r="AY13" i="9"/>
  <c r="AU20" i="8"/>
  <c r="AS20" i="8"/>
  <c r="AT20" i="8" s="1"/>
  <c r="AU14" i="8"/>
  <c r="AS14" i="8"/>
  <c r="AT14" i="8" s="1"/>
  <c r="AU24" i="8"/>
  <c r="AS24" i="8"/>
  <c r="AT24" i="8" s="1"/>
  <c r="AM33" i="7"/>
  <c r="AM19" i="7"/>
  <c r="AY16" i="11"/>
  <c r="AM20" i="7"/>
  <c r="AZ15" i="9"/>
  <c r="BA15" i="9" s="1"/>
  <c r="AU15" i="9"/>
  <c r="BB15" i="9" s="1"/>
  <c r="AY23" i="6"/>
  <c r="AZ23" i="6"/>
  <c r="BA23" i="6" s="1"/>
  <c r="AY12" i="10"/>
  <c r="AM26" i="7"/>
  <c r="AU13" i="8"/>
  <c r="AS13" i="8"/>
  <c r="AT13" i="8" s="1"/>
  <c r="AY13" i="10"/>
  <c r="AU12" i="8"/>
  <c r="AS12" i="8"/>
  <c r="AT12" i="8" s="1"/>
  <c r="AY21" i="5"/>
  <c r="AY19" i="11"/>
  <c r="AY19" i="6"/>
  <c r="AZ19" i="6"/>
  <c r="BA19" i="6" s="1"/>
  <c r="AM27" i="7"/>
  <c r="AU19" i="8"/>
  <c r="AS19" i="8"/>
  <c r="AT19" i="8" s="1"/>
  <c r="AM10" i="7"/>
  <c r="AU22" i="8"/>
  <c r="AS22" i="8"/>
  <c r="AT22" i="8" s="1"/>
  <c r="AE10" i="8"/>
  <c r="AU10" i="8" s="1"/>
  <c r="AS10" i="8"/>
  <c r="AT10" i="8" s="1"/>
  <c r="AY17" i="11"/>
  <c r="AY22" i="5"/>
  <c r="AY17" i="4"/>
  <c r="AZ17" i="4"/>
  <c r="BA17" i="4" s="1"/>
  <c r="AY16" i="4"/>
  <c r="AZ16" i="4"/>
  <c r="BA16" i="4" s="1"/>
  <c r="AY11" i="4"/>
  <c r="AZ11" i="4"/>
  <c r="BA11" i="4" s="1"/>
  <c r="AY15" i="4"/>
  <c r="AZ15" i="4"/>
  <c r="BA15" i="4" s="1"/>
  <c r="AY18" i="4"/>
  <c r="AZ18" i="4"/>
  <c r="BA18" i="4" s="1"/>
  <c r="AY14" i="4"/>
  <c r="AZ14" i="4"/>
  <c r="BA14" i="4" s="1"/>
  <c r="S16" i="6"/>
  <c r="AY10" i="4"/>
  <c r="S14" i="4"/>
  <c r="AU25" i="4" l="1"/>
  <c r="BB25" i="4" s="1"/>
  <c r="AZ25" i="4"/>
  <c r="BA25" i="4" s="1"/>
  <c r="AU39" i="4"/>
  <c r="BB39" i="4" s="1"/>
  <c r="AZ39" i="4"/>
  <c r="BA39" i="4" s="1"/>
  <c r="AZ36" i="4"/>
  <c r="BA36" i="4" s="1"/>
  <c r="AU36" i="4"/>
  <c r="BB36" i="4" s="1"/>
  <c r="AU19" i="4"/>
  <c r="AZ19" i="4"/>
  <c r="BA19" i="4" s="1"/>
  <c r="AU37" i="4"/>
  <c r="BB37" i="4" s="1"/>
  <c r="AZ37" i="4"/>
  <c r="BA37" i="4" s="1"/>
  <c r="AZ20" i="4"/>
  <c r="BA20" i="4" s="1"/>
  <c r="AU20" i="4"/>
  <c r="AZ33" i="4"/>
  <c r="BA33" i="4" s="1"/>
  <c r="AU33" i="4"/>
  <c r="BB33" i="4" s="1"/>
  <c r="AZ29" i="4"/>
  <c r="BA29" i="4" s="1"/>
  <c r="AU29" i="4"/>
  <c r="BB29" i="4" s="1"/>
  <c r="AU21" i="4"/>
  <c r="AZ21" i="4"/>
  <c r="BA21" i="4" s="1"/>
  <c r="AS18" i="8"/>
  <c r="AT18" i="8" s="1"/>
  <c r="AS17" i="8"/>
  <c r="AT17" i="8" s="1"/>
  <c r="AU10" i="10"/>
  <c r="BB10" i="10" s="1"/>
  <c r="AU16" i="5"/>
  <c r="BB16" i="5" s="1"/>
  <c r="AJ10" i="12"/>
  <c r="AP10" i="12" s="1"/>
  <c r="AZ13" i="11"/>
  <c r="BA13" i="11" s="1"/>
  <c r="AU13" i="11"/>
  <c r="BB13" i="11" s="1"/>
  <c r="AU20" i="11"/>
  <c r="BB20" i="11" s="1"/>
  <c r="AZ15" i="11"/>
  <c r="BA15" i="11" s="1"/>
  <c r="AU15" i="11"/>
  <c r="BB15" i="11" s="1"/>
  <c r="AZ11" i="10"/>
  <c r="BA11" i="10" s="1"/>
  <c r="AU11" i="10"/>
  <c r="BB11" i="10" s="1"/>
  <c r="AZ10" i="5"/>
  <c r="BA10" i="5" s="1"/>
  <c r="AU10" i="5"/>
  <c r="BB10" i="5" s="1"/>
  <c r="AU13" i="5"/>
  <c r="BB13" i="5" s="1"/>
  <c r="AZ13" i="5"/>
  <c r="BA13" i="5" s="1"/>
  <c r="AZ11" i="5"/>
  <c r="BA11" i="5" s="1"/>
  <c r="AU11" i="5"/>
  <c r="BB11" i="5" s="1"/>
  <c r="AJ21" i="7"/>
  <c r="AP21" i="7" s="1"/>
  <c r="AN21" i="7"/>
  <c r="AO21" i="7" s="1"/>
  <c r="AN25" i="7"/>
  <c r="AO25" i="7" s="1"/>
  <c r="AJ25" i="7"/>
  <c r="AP25" i="7" s="1"/>
  <c r="AJ31" i="7"/>
  <c r="AP31" i="7" s="1"/>
  <c r="AN31" i="7"/>
  <c r="AO31" i="7" s="1"/>
  <c r="AJ16" i="7"/>
  <c r="AP16" i="7" s="1"/>
  <c r="AN16" i="7"/>
  <c r="AO16" i="7" s="1"/>
  <c r="AN34" i="7"/>
  <c r="AO34" i="7" s="1"/>
  <c r="AJ34" i="7"/>
  <c r="AP34" i="7" s="1"/>
  <c r="AJ22" i="7"/>
  <c r="AP22" i="7" s="1"/>
  <c r="AN22" i="7"/>
  <c r="AO22" i="7" s="1"/>
  <c r="AJ29" i="7"/>
  <c r="AP29" i="7" s="1"/>
  <c r="AN29" i="7"/>
  <c r="AO29" i="7" s="1"/>
  <c r="AJ15" i="7"/>
  <c r="AP15" i="7" s="1"/>
  <c r="AN15" i="7"/>
  <c r="AO15" i="7" s="1"/>
  <c r="AN28" i="7"/>
  <c r="AO28" i="7" s="1"/>
  <c r="AJ28" i="7"/>
  <c r="AP28" i="7" s="1"/>
  <c r="AJ30" i="7"/>
  <c r="AP30" i="7" s="1"/>
  <c r="AN30" i="7"/>
  <c r="AO30" i="7" s="1"/>
  <c r="AZ12" i="6"/>
  <c r="BA12" i="6" s="1"/>
  <c r="AU12" i="6"/>
  <c r="BB12" i="6" s="1"/>
  <c r="AZ11" i="6"/>
  <c r="BA11" i="6" s="1"/>
  <c r="AU11" i="6"/>
  <c r="BB11" i="6" s="1"/>
  <c r="AZ13" i="6"/>
  <c r="BA13" i="6" s="1"/>
  <c r="AU13" i="6"/>
  <c r="BB13" i="6" s="1"/>
  <c r="AZ15" i="6"/>
  <c r="BA15" i="6" s="1"/>
  <c r="AU15" i="6"/>
  <c r="BB15" i="6" s="1"/>
  <c r="AU13" i="4"/>
  <c r="BB13" i="4" s="1"/>
  <c r="AZ22" i="5"/>
  <c r="BA22" i="5" s="1"/>
  <c r="AU22" i="5"/>
  <c r="BB22" i="5" s="1"/>
  <c r="AZ17" i="11"/>
  <c r="BA17" i="11" s="1"/>
  <c r="AU17" i="11"/>
  <c r="BB17" i="11" s="1"/>
  <c r="AN27" i="7"/>
  <c r="AO27" i="7" s="1"/>
  <c r="AJ27" i="7"/>
  <c r="AP27" i="7" s="1"/>
  <c r="AZ19" i="11"/>
  <c r="BA19" i="11" s="1"/>
  <c r="AU19" i="11"/>
  <c r="BB19" i="11" s="1"/>
  <c r="AZ12" i="10"/>
  <c r="BA12" i="10" s="1"/>
  <c r="AU12" i="10"/>
  <c r="BB12" i="10" s="1"/>
  <c r="AN20" i="7"/>
  <c r="AO20" i="7" s="1"/>
  <c r="AJ20" i="7"/>
  <c r="AP20" i="7" s="1"/>
  <c r="AZ16" i="11"/>
  <c r="BA16" i="11" s="1"/>
  <c r="AU16" i="11"/>
  <c r="BB16" i="11" s="1"/>
  <c r="AN33" i="7"/>
  <c r="AO33" i="7" s="1"/>
  <c r="AJ33" i="7"/>
  <c r="AP33" i="7" s="1"/>
  <c r="AU13" i="9"/>
  <c r="BB13" i="9" s="1"/>
  <c r="AZ13" i="9"/>
  <c r="BA13" i="9" s="1"/>
  <c r="AN35" i="7"/>
  <c r="AO35" i="7" s="1"/>
  <c r="AJ35" i="7"/>
  <c r="AP35" i="7" s="1"/>
  <c r="AJ32" i="7"/>
  <c r="AP32" i="7" s="1"/>
  <c r="AN32" i="7"/>
  <c r="AO32" i="7" s="1"/>
  <c r="AN12" i="12"/>
  <c r="AO12" i="12" s="1"/>
  <c r="AJ12" i="12"/>
  <c r="AP12" i="12" s="1"/>
  <c r="AZ14" i="6"/>
  <c r="BA14" i="6" s="1"/>
  <c r="AU14" i="6"/>
  <c r="BB14" i="6" s="1"/>
  <c r="AU15" i="5"/>
  <c r="BB15" i="5" s="1"/>
  <c r="AZ15" i="5"/>
  <c r="BA15" i="5" s="1"/>
  <c r="AN17" i="7"/>
  <c r="AO17" i="7" s="1"/>
  <c r="AJ17" i="7"/>
  <c r="AP17" i="7" s="1"/>
  <c r="AJ12" i="7"/>
  <c r="AP12" i="7" s="1"/>
  <c r="AN12" i="7"/>
  <c r="AO12" i="7" s="1"/>
  <c r="AN24" i="7"/>
  <c r="AO24" i="7" s="1"/>
  <c r="AJ24" i="7"/>
  <c r="AP24" i="7" s="1"/>
  <c r="AZ17" i="5"/>
  <c r="BA17" i="5" s="1"/>
  <c r="AU17" i="5"/>
  <c r="BB17" i="5" s="1"/>
  <c r="AN11" i="7"/>
  <c r="AO11" i="7" s="1"/>
  <c r="AJ11" i="7"/>
  <c r="AP11" i="7" s="1"/>
  <c r="AU10" i="6"/>
  <c r="BB10" i="6" s="1"/>
  <c r="AZ10" i="6"/>
  <c r="BA10" i="6" s="1"/>
  <c r="AZ22" i="11"/>
  <c r="BA22" i="11" s="1"/>
  <c r="AU22" i="11"/>
  <c r="BB22" i="11" s="1"/>
  <c r="AZ11" i="11"/>
  <c r="BA11" i="11" s="1"/>
  <c r="AU11" i="11"/>
  <c r="BB11" i="11" s="1"/>
  <c r="AJ23" i="7"/>
  <c r="AP23" i="7" s="1"/>
  <c r="AN23" i="7"/>
  <c r="AO23" i="7" s="1"/>
  <c r="AU12" i="9"/>
  <c r="BB12" i="9" s="1"/>
  <c r="AZ12" i="9"/>
  <c r="BA12" i="9" s="1"/>
  <c r="AZ14" i="11"/>
  <c r="BA14" i="11" s="1"/>
  <c r="AU14" i="11"/>
  <c r="BB14" i="11" s="1"/>
  <c r="AN11" i="12"/>
  <c r="AO11" i="12" s="1"/>
  <c r="AJ11" i="12"/>
  <c r="AP11" i="12" s="1"/>
  <c r="AZ10" i="11"/>
  <c r="BA10" i="11" s="1"/>
  <c r="AU10" i="11"/>
  <c r="BB10" i="11" s="1"/>
  <c r="AN10" i="7"/>
  <c r="AO10" i="7" s="1"/>
  <c r="AJ10" i="7"/>
  <c r="AP10" i="7" s="1"/>
  <c r="AU21" i="5"/>
  <c r="BB21" i="5" s="1"/>
  <c r="AZ21" i="5"/>
  <c r="BA21" i="5" s="1"/>
  <c r="AN26" i="7"/>
  <c r="AO26" i="7" s="1"/>
  <c r="AJ26" i="7"/>
  <c r="AP26" i="7" s="1"/>
  <c r="AN19" i="7"/>
  <c r="AO19" i="7" s="1"/>
  <c r="AJ19" i="7"/>
  <c r="AP19" i="7" s="1"/>
  <c r="AU12" i="11"/>
  <c r="BB12" i="11" s="1"/>
  <c r="AZ12" i="11"/>
  <c r="BA12" i="11" s="1"/>
  <c r="AZ14" i="9"/>
  <c r="BA14" i="9" s="1"/>
  <c r="AU14" i="9"/>
  <c r="BB14" i="9" s="1"/>
  <c r="AU19" i="5"/>
  <c r="BB19" i="5" s="1"/>
  <c r="AZ19" i="5"/>
  <c r="BA19" i="5" s="1"/>
  <c r="AU18" i="5"/>
  <c r="BB18" i="5" s="1"/>
  <c r="AZ18" i="5"/>
  <c r="BA18" i="5" s="1"/>
  <c r="AN14" i="7"/>
  <c r="AO14" i="7" s="1"/>
  <c r="AJ14" i="7"/>
  <c r="AP14" i="7" s="1"/>
  <c r="AJ13" i="7"/>
  <c r="AP13" i="7" s="1"/>
  <c r="AN13" i="7"/>
  <c r="AO13" i="7" s="1"/>
  <c r="AU11" i="9"/>
  <c r="BB11" i="9" s="1"/>
  <c r="AZ11" i="9"/>
  <c r="BA11" i="9" s="1"/>
  <c r="AN18" i="7"/>
  <c r="AO18" i="7" s="1"/>
  <c r="AJ18" i="7"/>
  <c r="AP18" i="7" s="1"/>
  <c r="AU14" i="5"/>
  <c r="BB14" i="5" s="1"/>
  <c r="AZ14" i="5"/>
  <c r="BA14" i="5" s="1"/>
  <c r="AU20" i="5"/>
  <c r="BB20" i="5" s="1"/>
  <c r="AZ20" i="5"/>
  <c r="BA20" i="5" s="1"/>
  <c r="AZ13" i="10"/>
  <c r="BA13" i="10" s="1"/>
  <c r="AU13" i="10"/>
  <c r="BB13" i="10" s="1"/>
  <c r="AZ18" i="11"/>
  <c r="BA18" i="11" s="1"/>
  <c r="AU18" i="11"/>
  <c r="BB18" i="11" s="1"/>
  <c r="AZ10" i="9"/>
  <c r="BA10" i="9" s="1"/>
  <c r="AU10" i="9"/>
  <c r="BB10" i="9" s="1"/>
  <c r="AZ21" i="11"/>
  <c r="BA21" i="11" s="1"/>
  <c r="AU21" i="11"/>
  <c r="BB21" i="11" s="1"/>
  <c r="AU16" i="6"/>
  <c r="BB16" i="6" s="1"/>
  <c r="AZ10" i="4"/>
  <c r="BA10" i="4" s="1"/>
  <c r="AU10" i="4"/>
  <c r="BB10" i="4" s="1"/>
  <c r="AU11" i="4"/>
  <c r="BB11" i="4" s="1"/>
  <c r="AU12" i="4"/>
  <c r="BB12" i="4" s="1"/>
  <c r="AU14" i="4"/>
  <c r="BB14" i="4" s="1"/>
  <c r="S15" i="4" l="1"/>
  <c r="S17" i="6" l="1"/>
  <c r="AU15" i="4"/>
  <c r="BB15" i="4" s="1"/>
  <c r="S16" i="4"/>
  <c r="S18" i="6" l="1"/>
  <c r="AU17" i="6"/>
  <c r="BB17" i="6" s="1"/>
  <c r="S17" i="4"/>
  <c r="AU16" i="4"/>
  <c r="BB16" i="4" s="1"/>
  <c r="AU18" i="6" l="1"/>
  <c r="BB18" i="6" s="1"/>
  <c r="S19" i="6"/>
  <c r="AU17" i="4"/>
  <c r="BB17" i="4" s="1"/>
  <c r="S18" i="4"/>
  <c r="S20" i="6" l="1"/>
  <c r="AU19" i="6"/>
  <c r="BB19" i="6" s="1"/>
  <c r="AU18" i="4"/>
  <c r="BB18" i="4" s="1"/>
  <c r="S19" i="4"/>
  <c r="BB19" i="4" s="1"/>
  <c r="AU20" i="6" l="1"/>
  <c r="BB20" i="6" s="1"/>
  <c r="S20" i="4"/>
  <c r="BB20" i="4" s="1"/>
  <c r="S21" i="6" l="1"/>
  <c r="S21" i="4"/>
  <c r="BB21" i="4" s="1"/>
  <c r="AU21" i="6" l="1"/>
  <c r="BB21" i="6" s="1"/>
  <c r="S22" i="6" l="1"/>
  <c r="AU22" i="6" l="1"/>
  <c r="BB22" i="6" s="1"/>
  <c r="S23" i="6" l="1"/>
  <c r="AU23" i="6" l="1"/>
  <c r="BB23" i="6" s="1"/>
  <c r="AU24" i="6" l="1"/>
  <c r="BB24" i="6" s="1"/>
  <c r="AU25" i="6" l="1"/>
  <c r="BB25" i="6" s="1"/>
  <c r="AU26" i="6" l="1"/>
  <c r="BB26" i="6" s="1"/>
  <c r="AU27" i="6" l="1"/>
  <c r="BB27" i="6" s="1"/>
  <c r="AU28" i="6" l="1"/>
  <c r="BB28" i="6" s="1"/>
  <c r="AU29" i="6" l="1"/>
  <c r="BB29" i="6" s="1"/>
  <c r="AU31" i="6" l="1"/>
  <c r="AU30" i="6"/>
  <c r="BB30" i="6" s="1"/>
  <c r="BB31" i="6" l="1"/>
  <c r="AU32" i="6" l="1"/>
  <c r="BB32" i="6" s="1"/>
  <c r="AU33" i="6" l="1"/>
  <c r="BB33" i="6" s="1"/>
  <c r="AU34" i="6" l="1"/>
  <c r="BB34" i="6" s="1"/>
</calcChain>
</file>

<file path=xl/comments1.xml><?xml version="1.0" encoding="utf-8"?>
<comments xmlns="http://schemas.openxmlformats.org/spreadsheetml/2006/main">
  <authors>
    <author>ADMIN</author>
  </authors>
  <commentList>
    <comment ref="K5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Facturado</t>
        </r>
      </text>
    </comment>
  </commentList>
</comments>
</file>

<file path=xl/comments2.xml><?xml version="1.0" encoding="utf-8"?>
<comments xmlns="http://schemas.openxmlformats.org/spreadsheetml/2006/main">
  <authors>
    <author>David Aguilera Cupido</author>
  </authors>
  <commentList>
    <comment ref="AN7" authorId="0">
      <text>
        <r>
          <rPr>
            <b/>
            <sz val="9"/>
            <color indexed="81"/>
            <rFont val="Tahoma"/>
            <family val="2"/>
          </rPr>
          <t>David Aguilera Cupido:</t>
        </r>
        <r>
          <rPr>
            <sz val="9"/>
            <color indexed="81"/>
            <rFont val="Tahoma"/>
            <family val="2"/>
          </rPr>
          <t xml:space="preserve">
Servicio contratado con empresa de transporte</t>
        </r>
      </text>
    </comment>
  </commentList>
</comments>
</file>

<file path=xl/comments3.xml><?xml version="1.0" encoding="utf-8"?>
<comments xmlns="http://schemas.openxmlformats.org/spreadsheetml/2006/main">
  <authors>
    <author>David Aguilera Cupido</author>
  </authors>
  <commentList>
    <comment ref="AO7" authorId="0">
      <text>
        <r>
          <rPr>
            <b/>
            <sz val="9"/>
            <color indexed="81"/>
            <rFont val="Tahoma"/>
            <family val="2"/>
          </rPr>
          <t>David Aguilera Cupido:</t>
        </r>
        <r>
          <rPr>
            <sz val="9"/>
            <color indexed="81"/>
            <rFont val="Tahoma"/>
            <family val="2"/>
          </rPr>
          <t xml:space="preserve">
Servicio contratado con empresa de transporte</t>
        </r>
      </text>
    </comment>
  </commentList>
</comments>
</file>

<file path=xl/sharedStrings.xml><?xml version="1.0" encoding="utf-8"?>
<sst xmlns="http://schemas.openxmlformats.org/spreadsheetml/2006/main" count="1396" uniqueCount="155">
  <si>
    <t>Cliente</t>
  </si>
  <si>
    <t>D.1</t>
  </si>
  <si>
    <t>D.2</t>
  </si>
  <si>
    <t>D.3</t>
  </si>
  <si>
    <t>D.4</t>
  </si>
  <si>
    <t>D.5</t>
  </si>
  <si>
    <t>D.6</t>
  </si>
  <si>
    <t>D.7</t>
  </si>
  <si>
    <t>≤</t>
  </si>
  <si>
    <t>&lt;</t>
  </si>
  <si>
    <t>C</t>
  </si>
  <si>
    <t>€/MWh/día/año</t>
  </si>
  <si>
    <t>€/MWh</t>
  </si>
  <si>
    <t>Trimestral</t>
  </si>
  <si>
    <t>Mensual</t>
  </si>
  <si>
    <t>Diario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</si>
  <si>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</si>
  <si>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</si>
  <si>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</si>
  <si>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</si>
  <si>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</si>
  <si>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</si>
  <si>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</si>
  <si>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</si>
  <si>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</si>
  <si>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</si>
  <si>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</si>
  <si>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</si>
  <si>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Mensuales</t>
  </si>
  <si>
    <t>Trimestrales</t>
  </si>
  <si>
    <t>Diarios</t>
  </si>
  <si>
    <t>D.8</t>
  </si>
  <si>
    <t>D.9</t>
  </si>
  <si>
    <t>D.10</t>
  </si>
  <si>
    <t>D.11</t>
  </si>
  <si>
    <t>€/Cliente y mes</t>
  </si>
  <si>
    <t>Nº Clientes</t>
  </si>
  <si>
    <t>MWh/día</t>
  </si>
  <si>
    <t>Fc</t>
  </si>
  <si>
    <t>Tamaño Medio</t>
  </si>
  <si>
    <r>
      <t xml:space="preserve">Cuadro 27 </t>
    </r>
    <r>
      <rPr>
        <sz val="11"/>
        <color theme="1"/>
        <rFont val="Arial Narrow"/>
        <family val="2"/>
      </rPr>
      <t xml:space="preserve"> Pg, 69</t>
    </r>
  </si>
  <si>
    <t>% Clientes</t>
  </si>
  <si>
    <t>% MWh</t>
  </si>
  <si>
    <t>Término Variable</t>
  </si>
  <si>
    <t>Término de Capacidad</t>
  </si>
  <si>
    <r>
      <rPr>
        <b/>
        <sz val="11"/>
        <color theme="1"/>
        <rFont val="Arial Narrow"/>
        <family val="2"/>
      </rPr>
      <t>Cuadros 8 y 11</t>
    </r>
    <r>
      <rPr>
        <sz val="11"/>
        <color theme="1"/>
        <rFont val="Arial Narrow"/>
        <family val="2"/>
      </rPr>
      <t xml:space="preserve"> Pg. 35 y 37</t>
    </r>
  </si>
  <si>
    <t>Multiplicadores a corto plazo</t>
  </si>
  <si>
    <t>PEAJES DE REDES LOCALES</t>
  </si>
  <si>
    <r>
      <rPr>
        <b/>
        <sz val="11"/>
        <color theme="1"/>
        <rFont val="Arial Narrow"/>
        <family val="2"/>
      </rPr>
      <t>Cuadro 45</t>
    </r>
    <r>
      <rPr>
        <sz val="11"/>
        <color theme="1"/>
        <rFont val="Arial Narrow"/>
        <family val="2"/>
      </rPr>
      <t xml:space="preserve"> Pg. 87</t>
    </r>
  </si>
  <si>
    <t>TF Capacidad</t>
  </si>
  <si>
    <t>TF Cliente</t>
  </si>
  <si>
    <t>TV Volumen</t>
  </si>
  <si>
    <t>Facturación Media</t>
  </si>
  <si>
    <t>%</t>
  </si>
  <si>
    <t>TF</t>
  </si>
  <si>
    <r>
      <rPr>
        <b/>
        <sz val="11"/>
        <color theme="1"/>
        <rFont val="Arial Narrow"/>
        <family val="2"/>
      </rPr>
      <t>Cuadro 71</t>
    </r>
    <r>
      <rPr>
        <sz val="11"/>
        <color theme="1"/>
        <rFont val="Arial Narrow"/>
        <family val="2"/>
      </rPr>
      <t xml:space="preserve"> Pg. 117</t>
    </r>
  </si>
  <si>
    <t>c€/kWh/día/mes</t>
  </si>
  <si>
    <t>c€/kWh</t>
  </si>
  <si>
    <t>€/MWh/día/mes</t>
  </si>
  <si>
    <t>PEAJE DE REGASIFICACIÓN</t>
  </si>
  <si>
    <r>
      <rPr>
        <b/>
        <sz val="11"/>
        <color theme="1"/>
        <rFont val="Arial Narrow"/>
        <family val="2"/>
      </rPr>
      <t>Cuadro 12</t>
    </r>
    <r>
      <rPr>
        <sz val="11"/>
        <color theme="1"/>
        <rFont val="Arial Narrow"/>
        <family val="2"/>
      </rPr>
      <t xml:space="preserve"> Pg. 40</t>
    </r>
  </si>
  <si>
    <r>
      <rPr>
        <b/>
        <sz val="11"/>
        <color theme="1"/>
        <rFont val="Arial Narrow"/>
        <family val="2"/>
      </rPr>
      <t>Cuadro 80</t>
    </r>
    <r>
      <rPr>
        <sz val="11"/>
        <color theme="1"/>
        <rFont val="Arial Narrow"/>
        <family val="2"/>
      </rPr>
      <t xml:space="preserve"> Pg. 122</t>
    </r>
  </si>
  <si>
    <t>Mes</t>
  </si>
  <si>
    <t>Multiplicadores a corto plazo + Estacionalidad</t>
  </si>
  <si>
    <r>
      <rPr>
        <b/>
        <sz val="11"/>
        <color theme="1"/>
        <rFont val="Arial Narrow"/>
        <family val="2"/>
      </rPr>
      <t xml:space="preserve">Cuadro 13, 14, 15 </t>
    </r>
    <r>
      <rPr>
        <sz val="11"/>
        <color theme="1"/>
        <rFont val="Arial Narrow"/>
        <family val="2"/>
      </rPr>
      <t xml:space="preserve"> Pg. 49, 50</t>
    </r>
  </si>
  <si>
    <t>3.1</t>
  </si>
  <si>
    <t>3.2</t>
  </si>
  <si>
    <t>3.3</t>
  </si>
  <si>
    <t>3.4</t>
  </si>
  <si>
    <t>3.5</t>
  </si>
  <si>
    <t>2.1</t>
  </si>
  <si>
    <t>2.2</t>
  </si>
  <si>
    <t>2.3</t>
  </si>
  <si>
    <t>2.4</t>
  </si>
  <si>
    <t>2.5</t>
  </si>
  <si>
    <t>2.6</t>
  </si>
  <si>
    <t>SALIDA DEL PVB A CONSUMIDOR FINAL</t>
  </si>
  <si>
    <t>ACCESO A PVB RED TRANSPORTE</t>
  </si>
  <si>
    <t>Coeficiente</t>
  </si>
  <si>
    <t>GNL</t>
  </si>
  <si>
    <t>Tamaño MWh/año</t>
  </si>
  <si>
    <t>PEAJE DE CARGA EN CISTERNAS</t>
  </si>
  <si>
    <t>Entrada</t>
  </si>
  <si>
    <t>Salida</t>
  </si>
  <si>
    <t>Media Ponderada</t>
  </si>
  <si>
    <t>Nacional</t>
  </si>
  <si>
    <t>Consumo</t>
  </si>
  <si>
    <t>MWh/año</t>
  </si>
  <si>
    <t>Capacidad</t>
  </si>
  <si>
    <t>Peaje</t>
  </si>
  <si>
    <t>TF Qd</t>
  </si>
  <si>
    <t>TV</t>
  </si>
  <si>
    <t>Total</t>
  </si>
  <si>
    <t>€/año</t>
  </si>
  <si>
    <t>Regasif.</t>
  </si>
  <si>
    <t>Entrada PVB</t>
  </si>
  <si>
    <t>Salida PVB</t>
  </si>
  <si>
    <t>€/mes</t>
  </si>
  <si>
    <t>ATR</t>
  </si>
  <si>
    <t>Suma Peajes</t>
  </si>
  <si>
    <t>PEAJES ACTUALES</t>
  </si>
  <si>
    <t>PEAJES CIRCULAR CNMC</t>
  </si>
  <si>
    <r>
      <t xml:space="preserve">% </t>
    </r>
    <r>
      <rPr>
        <b/>
        <sz val="11"/>
        <color rgb="FFC00000"/>
        <rFont val="Symbol"/>
        <family val="1"/>
        <charset val="2"/>
      </rPr>
      <t>D</t>
    </r>
  </si>
  <si>
    <r>
      <t>D</t>
    </r>
    <r>
      <rPr>
        <b/>
        <sz val="11"/>
        <color rgb="FFC00000"/>
        <rFont val="Arial Narrow"/>
        <family val="2"/>
      </rPr>
      <t xml:space="preserve"> €/año</t>
    </r>
  </si>
  <si>
    <t>Red Local</t>
  </si>
  <si>
    <t>Memoria CNMC</t>
  </si>
  <si>
    <t>Consumo Nocturno</t>
  </si>
  <si>
    <t>Carga Cisternas</t>
  </si>
  <si>
    <t>km hasta Planta</t>
  </si>
  <si>
    <t>Transporte GNL Cisternas por carretera</t>
  </si>
  <si>
    <r>
      <t>€ / Tm</t>
    </r>
    <r>
      <rPr>
        <vertAlign val="subscript"/>
        <sz val="11"/>
        <color theme="0"/>
        <rFont val="Arial Narrow"/>
        <family val="2"/>
      </rPr>
      <t>GNL</t>
    </r>
    <r>
      <rPr>
        <sz val="11"/>
        <color theme="0"/>
        <rFont val="Arial Narrow"/>
        <family val="2"/>
      </rPr>
      <t xml:space="preserve"> / km</t>
    </r>
  </si>
  <si>
    <t>PCS GNL</t>
  </si>
  <si>
    <t>MWh/Tm</t>
  </si>
  <si>
    <t>€/MWh/km</t>
  </si>
  <si>
    <t>Suma Costes PS GNL</t>
  </si>
  <si>
    <t>PLANTA SATÉLITE MONOCLIENTE</t>
  </si>
  <si>
    <r>
      <rPr>
        <b/>
        <sz val="11"/>
        <color theme="1"/>
        <rFont val="Arial Narrow"/>
        <family val="2"/>
      </rPr>
      <t>Cuadro 70</t>
    </r>
    <r>
      <rPr>
        <sz val="11"/>
        <color theme="1"/>
        <rFont val="Arial Narrow"/>
        <family val="2"/>
      </rPr>
      <t xml:space="preserve"> Pg. 116</t>
    </r>
  </si>
  <si>
    <t>TIPOLOGÍA DE CLIENTES SEGÚN PEAJES VIGENTES</t>
  </si>
  <si>
    <t>INFORME DE SUPERVISIÓN DEL MERCADO DE GAS NATURAL EN ESPAÑA. AÑO 2018. IS/DE/007/19</t>
  </si>
  <si>
    <r>
      <t>€ / MWh</t>
    </r>
    <r>
      <rPr>
        <sz val="11"/>
        <rFont val="Arial Narrow"/>
        <family val="2"/>
      </rPr>
      <t xml:space="preserve"> / km</t>
    </r>
  </si>
  <si>
    <t>Coste</t>
  </si>
  <si>
    <t>TRANSPORTE DE CISTERNAS POR CARRETERA</t>
  </si>
  <si>
    <t>Sobre Total</t>
  </si>
  <si>
    <t>Sobre Grupo Tarifario</t>
  </si>
  <si>
    <t>TIPOLOGÍA DE CLIENTES 2020</t>
  </si>
  <si>
    <t>PEAJE DE ENTRADA/SALIDA A LA RED DE TRANSPORTE TRONCAL</t>
  </si>
  <si>
    <r>
      <rPr>
        <sz val="11"/>
        <color theme="1"/>
        <rFont val="Symbol"/>
        <family val="1"/>
        <charset val="2"/>
      </rPr>
      <t>D</t>
    </r>
    <r>
      <rPr>
        <sz val="11"/>
        <color theme="1"/>
        <rFont val="Arial Narrow"/>
        <family val="2"/>
      </rPr>
      <t xml:space="preserve"> </t>
    </r>
    <r>
      <rPr>
        <sz val="11"/>
        <color theme="1"/>
        <rFont val="Arial Narrow"/>
        <family val="2"/>
      </rPr>
      <t>€/MWh</t>
    </r>
  </si>
  <si>
    <t>kWh/año</t>
  </si>
  <si>
    <t>€/kWh</t>
  </si>
  <si>
    <t>Peajes Actuales</t>
  </si>
  <si>
    <t>Peajes Propuesta Circular</t>
  </si>
  <si>
    <t>PEAJE PARA RECUPERACIÓN DE OTROS COSTES DE REGASIFICACIÓN</t>
  </si>
  <si>
    <r>
      <rPr>
        <b/>
        <sz val="11"/>
        <color theme="1"/>
        <rFont val="Arial Narrow"/>
        <family val="2"/>
      </rPr>
      <t>Cuadro 82</t>
    </r>
    <r>
      <rPr>
        <sz val="11"/>
        <color theme="1"/>
        <rFont val="Arial Narrow"/>
        <family val="2"/>
      </rPr>
      <t xml:space="preserve"> Pg. 124</t>
    </r>
  </si>
  <si>
    <t>Otros Regasif.</t>
  </si>
  <si>
    <t>Entrada Transp.</t>
  </si>
  <si>
    <t>Salida Transp.</t>
  </si>
  <si>
    <t>Tpte. Carretera</t>
  </si>
  <si>
    <t>ANÁLISIS IMPACTO EN CLIENTES:</t>
  </si>
  <si>
    <t>CLIENTES ACOGIDOS A PEAJES GRUPO 2</t>
  </si>
  <si>
    <t>CLIENTES ACOGIDOS A PEAJE 3.5 CON CONSUMO NOCTURNO</t>
  </si>
  <si>
    <t>CLIENTES ACOGIDOS A PEAJE 3.5 SIN CONSUMO NOCTURNO</t>
  </si>
  <si>
    <t>CLIENTES ACOGIDOS A PEAJES GRUPO 3 (EXCEPTO 3.5) ALIMENTADOS DESDE PLANTA DE GNL CONECTADA A RED</t>
  </si>
  <si>
    <t>CLIENTES ACOGIDOS A PEAJES GRUPO 2 Vs. OPCIÓN PLANTA SATÉLITE MONOCLIENTE</t>
  </si>
  <si>
    <t>Peaje 1</t>
  </si>
  <si>
    <t xml:space="preserve">Peaje </t>
  </si>
  <si>
    <t>CLIENTES ACOGIDOS A PEAJES GRUPO 2 TAMAÑOS MEDIOS 2018 Vs. OPCIÓN PLANTA SATÉLITE MONOCLIENTE</t>
  </si>
  <si>
    <t>CLIENTES ACOGIDOS A PEAJES GRUPO 3 (EXCEPTO 3.5) ALIMENTADOS DESDE PLANTA DE GNL CONECTADA A RED. TAMAÑO MEDIO 2018.</t>
  </si>
  <si>
    <t>CLIENTES ACOGIDOS A PEAJES GRUPO 2 (TAMAÑO MEDIO 2018)</t>
  </si>
  <si>
    <t>1.1</t>
  </si>
  <si>
    <t>1.2</t>
  </si>
  <si>
    <t>1.3</t>
  </si>
  <si>
    <t>Peaje Materia Prima</t>
  </si>
  <si>
    <t>Planta Satélite para un solo consumidor</t>
  </si>
  <si>
    <t>CLIENTES ACOGIDOS A PEAJES GRUPO 3 (EXCEPTO 3.5) SUMINSTRADOS DESDE GASODUCTO</t>
  </si>
  <si>
    <t>CLIENTES ACOGIDOS A PEAJES GRUPO 3 (EXCEPTO 3.5) SUMINISTRADOS DESDE GASODUCTO. TAMAÑO MEDIO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</si>
</sst>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0.0%"/>
    <numFmt numFmtId="165" formatCode="_-* #,##0\ &quot;€&quot;_-;\-* #,##0\ &quot;€&quot;_-;_-* &quot;-&quot;??\ &quot;€&quot;_-;_-@_-"/>
    <numFmt numFmtId="166" formatCode="0.000%"/>
    <numFmt numFmtId="167" formatCode="#,##0.000"/>
    <numFmt numFmtId="168" formatCode="0.0000"/>
    <numFmt numFmtId="169" formatCode="0.000"/>
    <numFmt numFmtId="170" formatCode="#,##0.0000"/>
    <numFmt numFmtId="171" formatCode="#,##0.000000"/>
    <numFmt numFmtId="172" formatCode="#,##0.0"/>
    <numFmt numFmtId="173" formatCode="#,##0.00\ &quot;€&quot;"/>
    <numFmt numFmtId="174" formatCode="_-* #,##0\ _€_-;\-* #,##0\ _€_-;_-* &quot;-&quot;??\ _€_-;_-@_-"/>
  </numFmts>
  <fonts count="27">
    <font>
      <sz val="11"/>
      <color theme="1"/>
      <name val="Arial Narrow"/>
      <family val="2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b/>
      <sz val="11"/>
      <color rgb="FFC00000"/>
      <name val="Arial Narrow"/>
      <family val="2"/>
    </font>
    <font>
      <sz val="11"/>
      <color rgb="FF0070C0"/>
      <name val="Arial Narrow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0"/>
      <name val="Arial Narrow"/>
      <family val="2"/>
    </font>
    <font>
      <sz val="10"/>
      <color rgb="FF0070C0"/>
      <name val="Arial Narrow"/>
      <family val="2"/>
    </font>
    <font>
      <b/>
      <sz val="10"/>
      <color theme="0"/>
      <name val="Arial Narrow"/>
      <family val="2"/>
    </font>
    <font>
      <sz val="11"/>
      <name val="Arial Narrow"/>
      <family val="2"/>
    </font>
    <font>
      <b/>
      <sz val="11"/>
      <color theme="5"/>
      <name val="Arial Narrow"/>
      <family val="2"/>
    </font>
    <font>
      <b/>
      <sz val="11"/>
      <color rgb="FF0070C0"/>
      <name val="Arial Narrow"/>
      <family val="2"/>
    </font>
    <font>
      <sz val="11"/>
      <color theme="5"/>
      <name val="Arial Narrow"/>
      <family val="2"/>
    </font>
    <font>
      <b/>
      <sz val="11"/>
      <color rgb="FFC00000"/>
      <name val="Symbol"/>
      <family val="1"/>
      <charset val="2"/>
    </font>
    <font>
      <vertAlign val="subscript"/>
      <sz val="11"/>
      <color theme="0"/>
      <name val="Arial Narrow"/>
      <family val="2"/>
    </font>
    <font>
      <sz val="11"/>
      <color theme="0"/>
      <name val="Arial Narrow"/>
      <family val="2"/>
    </font>
    <font>
      <sz val="9"/>
      <color theme="1"/>
      <name val="Arial Narrow"/>
      <family val="2"/>
    </font>
    <font>
      <sz val="10"/>
      <name val="Arial Narrow"/>
      <family val="2"/>
    </font>
    <font>
      <b/>
      <sz val="11"/>
      <color rgb="FFFF0000"/>
      <name val="Arial Narrow"/>
      <family val="2"/>
    </font>
    <font>
      <sz val="8"/>
      <name val="Arial Narrow"/>
      <family val="2"/>
    </font>
    <font>
      <sz val="11"/>
      <color theme="1"/>
      <name val="Symbol"/>
      <family val="1"/>
      <charset val="2"/>
    </font>
    <font>
      <sz val="11"/>
      <color theme="1"/>
      <name val="Arial Narrow"/>
      <family val="1"/>
      <charset val="2"/>
    </font>
    <font>
      <b/>
      <sz val="14"/>
      <color theme="1"/>
      <name val="Arial Narrow"/>
      <family val="2"/>
    </font>
    <font>
      <b/>
      <sz val="16"/>
      <color theme="1"/>
      <name val="Arial Narrow"/>
      <family val="2"/>
    </font>
  </fonts>
  <fills count="1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63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1" xfId="0" applyBorder="1"/>
    <xf numFmtId="0" fontId="0" fillId="0" borderId="1" xfId="0" applyBorder="1" applyAlignment="1">
      <alignment horizontal="center"/>
    </xf>
    <xf numFmtId="164" fontId="4" fillId="0" borderId="0" xfId="2" applyNumberFormat="1" applyFont="1" applyAlignment="1">
      <alignment horizontal="center"/>
    </xf>
    <xf numFmtId="164" fontId="3" fillId="0" borderId="1" xfId="2" applyNumberFormat="1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3" fillId="0" borderId="5" xfId="0" applyFont="1" applyBorder="1" applyAlignment="1">
      <alignment horizontal="right"/>
    </xf>
    <xf numFmtId="3" fontId="3" fillId="0" borderId="5" xfId="0" applyNumberFormat="1" applyFont="1" applyBorder="1" applyAlignment="1">
      <alignment horizontal="right"/>
    </xf>
    <xf numFmtId="3" fontId="3" fillId="0" borderId="7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 indent="1"/>
    </xf>
    <xf numFmtId="0" fontId="6" fillId="0" borderId="2" xfId="0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10" fontId="4" fillId="0" borderId="0" xfId="2" applyNumberFormat="1" applyFont="1" applyAlignment="1">
      <alignment horizontal="center"/>
    </xf>
    <xf numFmtId="166" fontId="3" fillId="0" borderId="1" xfId="2" applyNumberFormat="1" applyFont="1" applyBorder="1" applyAlignment="1">
      <alignment horizontal="center"/>
    </xf>
    <xf numFmtId="3" fontId="3" fillId="5" borderId="5" xfId="0" applyNumberFormat="1" applyFont="1" applyFill="1" applyBorder="1" applyAlignment="1">
      <alignment horizontal="right"/>
    </xf>
    <xf numFmtId="0" fontId="0" fillId="5" borderId="6" xfId="0" applyFill="1" applyBorder="1" applyAlignment="1">
      <alignment horizontal="center"/>
    </xf>
    <xf numFmtId="3" fontId="3" fillId="5" borderId="7" xfId="0" applyNumberFormat="1" applyFont="1" applyFill="1" applyBorder="1" applyAlignment="1">
      <alignment horizontal="right"/>
    </xf>
    <xf numFmtId="164" fontId="3" fillId="5" borderId="1" xfId="2" applyNumberFormat="1" applyFont="1" applyFill="1" applyBorder="1" applyAlignment="1">
      <alignment horizontal="center"/>
    </xf>
    <xf numFmtId="166" fontId="3" fillId="5" borderId="1" xfId="2" applyNumberFormat="1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9" fillId="6" borderId="1" xfId="0" applyFont="1" applyFill="1" applyBorder="1" applyAlignment="1">
      <alignment horizontal="center"/>
    </xf>
    <xf numFmtId="3" fontId="10" fillId="0" borderId="1" xfId="0" applyNumberFormat="1" applyFont="1" applyBorder="1" applyAlignment="1">
      <alignment horizontal="right" indent="1"/>
    </xf>
    <xf numFmtId="3" fontId="10" fillId="5" borderId="1" xfId="0" applyNumberFormat="1" applyFont="1" applyFill="1" applyBorder="1" applyAlignment="1">
      <alignment horizontal="right" indent="1"/>
    </xf>
    <xf numFmtId="0" fontId="6" fillId="0" borderId="1" xfId="0" applyFont="1" applyBorder="1" applyAlignment="1">
      <alignment horizontal="center"/>
    </xf>
    <xf numFmtId="168" fontId="6" fillId="0" borderId="1" xfId="0" applyNumberFormat="1" applyFont="1" applyBorder="1" applyAlignment="1">
      <alignment horizontal="right" indent="1"/>
    </xf>
    <xf numFmtId="0" fontId="9" fillId="6" borderId="2" xfId="0" applyFont="1" applyFill="1" applyBorder="1" applyAlignment="1">
      <alignment horizontal="center"/>
    </xf>
    <xf numFmtId="0" fontId="11" fillId="6" borderId="4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170" fontId="6" fillId="0" borderId="1" xfId="0" applyNumberFormat="1" applyFont="1" applyBorder="1" applyAlignment="1">
      <alignment horizontal="right" indent="1"/>
    </xf>
    <xf numFmtId="171" fontId="6" fillId="0" borderId="1" xfId="0" applyNumberFormat="1" applyFont="1" applyBorder="1" applyAlignment="1">
      <alignment horizontal="right" indent="1"/>
    </xf>
    <xf numFmtId="167" fontId="10" fillId="0" borderId="1" xfId="0" applyNumberFormat="1" applyFont="1" applyBorder="1" applyAlignment="1">
      <alignment horizontal="right" indent="1"/>
    </xf>
    <xf numFmtId="3" fontId="4" fillId="0" borderId="0" xfId="0" applyNumberFormat="1" applyFont="1" applyAlignment="1">
      <alignment horizontal="right" indent="1"/>
    </xf>
    <xf numFmtId="167" fontId="12" fillId="0" borderId="1" xfId="0" applyNumberFormat="1" applyFont="1" applyBorder="1" applyAlignment="1">
      <alignment horizontal="right" indent="1"/>
    </xf>
    <xf numFmtId="0" fontId="0" fillId="0" borderId="6" xfId="0" applyFill="1" applyBorder="1" applyAlignment="1">
      <alignment horizontal="center"/>
    </xf>
    <xf numFmtId="0" fontId="6" fillId="0" borderId="1" xfId="0" quotePrefix="1" applyFont="1" applyFill="1" applyBorder="1" applyAlignment="1">
      <alignment horizontal="right" indent="1"/>
    </xf>
    <xf numFmtId="167" fontId="6" fillId="0" borderId="1" xfId="0" applyNumberFormat="1" applyFont="1" applyFill="1" applyBorder="1" applyAlignment="1">
      <alignment horizontal="right" indent="1"/>
    </xf>
    <xf numFmtId="169" fontId="6" fillId="0" borderId="1" xfId="0" applyNumberFormat="1" applyFont="1" applyFill="1" applyBorder="1" applyAlignment="1">
      <alignment horizontal="right" indent="1"/>
    </xf>
    <xf numFmtId="167" fontId="0" fillId="0" borderId="1" xfId="0" applyNumberFormat="1" applyFill="1" applyBorder="1" applyAlignment="1">
      <alignment horizontal="right" indent="1"/>
    </xf>
    <xf numFmtId="164" fontId="0" fillId="0" borderId="1" xfId="2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right" indent="1"/>
    </xf>
    <xf numFmtId="0" fontId="0" fillId="0" borderId="2" xfId="0" applyBorder="1"/>
    <xf numFmtId="0" fontId="0" fillId="0" borderId="8" xfId="0" applyBorder="1"/>
    <xf numFmtId="0" fontId="0" fillId="0" borderId="9" xfId="0" applyBorder="1"/>
    <xf numFmtId="4" fontId="6" fillId="0" borderId="1" xfId="0" applyNumberFormat="1" applyFont="1" applyFill="1" applyBorder="1" applyAlignment="1">
      <alignment horizontal="right" indent="1"/>
    </xf>
    <xf numFmtId="2" fontId="6" fillId="0" borderId="1" xfId="0" applyNumberFormat="1" applyFont="1" applyFill="1" applyBorder="1" applyAlignment="1">
      <alignment horizontal="right" indent="1"/>
    </xf>
    <xf numFmtId="2" fontId="6" fillId="0" borderId="1" xfId="0" applyNumberFormat="1" applyFont="1" applyBorder="1" applyAlignment="1">
      <alignment horizontal="right" indent="1"/>
    </xf>
    <xf numFmtId="0" fontId="0" fillId="0" borderId="4" xfId="0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6" fillId="0" borderId="4" xfId="0" quotePrefix="1" applyFont="1" applyFill="1" applyBorder="1" applyAlignment="1">
      <alignment horizontal="right" indent="1"/>
    </xf>
    <xf numFmtId="0" fontId="6" fillId="0" borderId="4" xfId="0" applyFont="1" applyFill="1" applyBorder="1" applyAlignment="1">
      <alignment horizontal="right" indent="1"/>
    </xf>
    <xf numFmtId="0" fontId="0" fillId="0" borderId="10" xfId="0" applyFill="1" applyBorder="1" applyAlignment="1">
      <alignment horizontal="center"/>
    </xf>
    <xf numFmtId="0" fontId="0" fillId="0" borderId="13" xfId="0" applyFill="1" applyBorder="1" applyAlignment="1">
      <alignment horizontal="center"/>
    </xf>
    <xf numFmtId="0" fontId="6" fillId="0" borderId="10" xfId="0" quotePrefix="1" applyFont="1" applyFill="1" applyBorder="1" applyAlignment="1">
      <alignment horizontal="right" indent="1"/>
    </xf>
    <xf numFmtId="0" fontId="6" fillId="0" borderId="10" xfId="0" applyFont="1" applyFill="1" applyBorder="1" applyAlignment="1">
      <alignment horizontal="right" indent="1"/>
    </xf>
    <xf numFmtId="0" fontId="3" fillId="0" borderId="5" xfId="0" applyFont="1" applyFill="1" applyBorder="1" applyAlignment="1">
      <alignment horizontal="center"/>
    </xf>
    <xf numFmtId="3" fontId="3" fillId="0" borderId="5" xfId="0" applyNumberFormat="1" applyFont="1" applyFill="1" applyBorder="1" applyAlignment="1">
      <alignment horizontal="center"/>
    </xf>
    <xf numFmtId="3" fontId="3" fillId="0" borderId="12" xfId="0" applyNumberFormat="1" applyFont="1" applyFill="1" applyBorder="1" applyAlignment="1">
      <alignment horizontal="center"/>
    </xf>
    <xf numFmtId="3" fontId="3" fillId="0" borderId="9" xfId="0" applyNumberFormat="1" applyFont="1" applyFill="1" applyBorder="1" applyAlignment="1">
      <alignment horizontal="center"/>
    </xf>
    <xf numFmtId="3" fontId="3" fillId="0" borderId="7" xfId="0" applyNumberFormat="1" applyFont="1" applyFill="1" applyBorder="1" applyAlignment="1">
      <alignment horizontal="center"/>
    </xf>
    <xf numFmtId="3" fontId="3" fillId="0" borderId="14" xfId="0" applyNumberFormat="1" applyFont="1" applyFill="1" applyBorder="1" applyAlignment="1">
      <alignment horizontal="center"/>
    </xf>
    <xf numFmtId="3" fontId="3" fillId="0" borderId="8" xfId="0" applyNumberFormat="1" applyFont="1" applyFill="1" applyBorder="1" applyAlignment="1">
      <alignment horizontal="center"/>
    </xf>
    <xf numFmtId="170" fontId="12" fillId="0" borderId="1" xfId="0" applyNumberFormat="1" applyFont="1" applyBorder="1" applyAlignment="1">
      <alignment horizontal="right" indent="1"/>
    </xf>
    <xf numFmtId="3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3" fontId="9" fillId="6" borderId="15" xfId="0" applyNumberFormat="1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/>
    </xf>
    <xf numFmtId="0" fontId="9" fillId="6" borderId="17" xfId="0" applyFont="1" applyFill="1" applyBorder="1" applyAlignment="1">
      <alignment horizontal="center" vertical="center"/>
    </xf>
    <xf numFmtId="3" fontId="0" fillId="7" borderId="9" xfId="0" applyNumberFormat="1" applyFill="1" applyBorder="1" applyAlignment="1">
      <alignment horizontal="center" vertical="center"/>
    </xf>
    <xf numFmtId="0" fontId="0" fillId="7" borderId="4" xfId="0" applyFill="1" applyBorder="1" applyAlignment="1">
      <alignment horizontal="center" vertical="center"/>
    </xf>
    <xf numFmtId="0" fontId="0" fillId="7" borderId="8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9" fontId="0" fillId="0" borderId="1" xfId="2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5" fontId="0" fillId="7" borderId="8" xfId="1" applyNumberFormat="1" applyFont="1" applyFill="1" applyBorder="1" applyAlignment="1">
      <alignment horizontal="center" vertical="center"/>
    </xf>
    <xf numFmtId="165" fontId="0" fillId="0" borderId="0" xfId="1" applyNumberFormat="1" applyFont="1" applyAlignment="1">
      <alignment vertical="center"/>
    </xf>
    <xf numFmtId="2" fontId="13" fillId="3" borderId="1" xfId="0" applyNumberFormat="1" applyFont="1" applyFill="1" applyBorder="1" applyAlignment="1">
      <alignment vertical="center"/>
    </xf>
    <xf numFmtId="0" fontId="9" fillId="6" borderId="9" xfId="0" applyFont="1" applyFill="1" applyBorder="1" applyAlignment="1">
      <alignment horizontal="center" vertical="center"/>
    </xf>
    <xf numFmtId="0" fontId="9" fillId="6" borderId="8" xfId="0" applyFont="1" applyFill="1" applyBorder="1" applyAlignment="1">
      <alignment horizontal="center" vertical="center"/>
    </xf>
    <xf numFmtId="0" fontId="9" fillId="6" borderId="11" xfId="0" applyFont="1" applyFill="1" applyBorder="1" applyAlignment="1">
      <alignment horizontal="center" vertical="center"/>
    </xf>
    <xf numFmtId="0" fontId="9" fillId="6" borderId="9" xfId="0" applyFont="1" applyFill="1" applyBorder="1" applyAlignment="1">
      <alignment horizontal="center" vertical="center"/>
    </xf>
    <xf numFmtId="0" fontId="9" fillId="6" borderId="8" xfId="0" applyFont="1" applyFill="1" applyBorder="1" applyAlignment="1">
      <alignment horizontal="center" vertical="center"/>
    </xf>
    <xf numFmtId="165" fontId="9" fillId="6" borderId="11" xfId="1" applyNumberFormat="1" applyFont="1" applyFill="1" applyBorder="1" applyAlignment="1">
      <alignment horizontal="center" vertical="center"/>
    </xf>
    <xf numFmtId="165" fontId="9" fillId="6" borderId="8" xfId="1" applyNumberFormat="1" applyFont="1" applyFill="1" applyBorder="1" applyAlignment="1">
      <alignment horizontal="center" vertical="center"/>
    </xf>
    <xf numFmtId="4" fontId="15" fillId="0" borderId="1" xfId="0" applyNumberFormat="1" applyFont="1" applyBorder="1" applyAlignment="1">
      <alignment vertical="center"/>
    </xf>
    <xf numFmtId="0" fontId="15" fillId="0" borderId="1" xfId="0" applyFont="1" applyBorder="1" applyAlignment="1">
      <alignment horizontal="center" vertical="center"/>
    </xf>
    <xf numFmtId="167" fontId="15" fillId="0" borderId="1" xfId="0" applyNumberFormat="1" applyFont="1" applyBorder="1" applyAlignment="1">
      <alignment horizontal="center" vertical="center"/>
    </xf>
    <xf numFmtId="167" fontId="15" fillId="0" borderId="1" xfId="0" applyNumberFormat="1" applyFont="1" applyBorder="1" applyAlignment="1">
      <alignment vertical="center"/>
    </xf>
    <xf numFmtId="0" fontId="9" fillId="9" borderId="11" xfId="0" applyFont="1" applyFill="1" applyBorder="1" applyAlignment="1">
      <alignment horizontal="center" vertical="center"/>
    </xf>
    <xf numFmtId="165" fontId="9" fillId="9" borderId="11" xfId="1" applyNumberFormat="1" applyFont="1" applyFill="1" applyBorder="1" applyAlignment="1">
      <alignment horizontal="center" vertical="center"/>
    </xf>
    <xf numFmtId="165" fontId="9" fillId="9" borderId="8" xfId="1" applyNumberFormat="1" applyFont="1" applyFill="1" applyBorder="1" applyAlignment="1">
      <alignment horizontal="center" vertical="center"/>
    </xf>
    <xf numFmtId="0" fontId="9" fillId="9" borderId="9" xfId="0" applyFont="1" applyFill="1" applyBorder="1" applyAlignment="1">
      <alignment horizontal="center" vertical="center"/>
    </xf>
    <xf numFmtId="0" fontId="9" fillId="9" borderId="8" xfId="0" applyFont="1" applyFill="1" applyBorder="1" applyAlignment="1">
      <alignment horizontal="center" vertical="center"/>
    </xf>
    <xf numFmtId="169" fontId="15" fillId="0" borderId="1" xfId="0" applyNumberFormat="1" applyFont="1" applyBorder="1" applyAlignment="1">
      <alignment horizontal="center" vertical="center"/>
    </xf>
    <xf numFmtId="2" fontId="15" fillId="0" borderId="1" xfId="0" applyNumberFormat="1" applyFont="1" applyBorder="1" applyAlignment="1">
      <alignment horizontal="center" vertical="center"/>
    </xf>
    <xf numFmtId="2" fontId="15" fillId="0" borderId="1" xfId="0" applyNumberFormat="1" applyFont="1" applyBorder="1" applyAlignment="1">
      <alignment vertical="center"/>
    </xf>
    <xf numFmtId="0" fontId="9" fillId="11" borderId="1" xfId="0" applyFont="1" applyFill="1" applyBorder="1" applyAlignment="1">
      <alignment horizontal="center" vertical="center"/>
    </xf>
    <xf numFmtId="9" fontId="0" fillId="0" borderId="7" xfId="2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9" fillId="11" borderId="1" xfId="0" applyFont="1" applyFill="1" applyBorder="1" applyAlignment="1">
      <alignment horizontal="center" vertical="center"/>
    </xf>
    <xf numFmtId="0" fontId="16" fillId="3" borderId="5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3" fontId="2" fillId="0" borderId="1" xfId="0" applyNumberFormat="1" applyFont="1" applyBorder="1" applyAlignment="1">
      <alignment horizontal="right" vertical="center" indent="1"/>
    </xf>
    <xf numFmtId="0" fontId="9" fillId="9" borderId="9" xfId="0" applyFont="1" applyFill="1" applyBorder="1" applyAlignment="1">
      <alignment horizontal="center" vertical="center"/>
    </xf>
    <xf numFmtId="0" fontId="9" fillId="9" borderId="8" xfId="0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/>
    </xf>
    <xf numFmtId="0" fontId="9" fillId="6" borderId="17" xfId="0" applyFont="1" applyFill="1" applyBorder="1" applyAlignment="1">
      <alignment horizontal="center" vertical="center"/>
    </xf>
    <xf numFmtId="172" fontId="2" fillId="0" borderId="1" xfId="0" applyNumberFormat="1" applyFont="1" applyBorder="1" applyAlignment="1">
      <alignment horizontal="right" vertical="center" indent="1"/>
    </xf>
    <xf numFmtId="4" fontId="2" fillId="0" borderId="1" xfId="0" applyNumberFormat="1" applyFont="1" applyBorder="1" applyAlignment="1">
      <alignment horizontal="right" vertical="center" indent="1"/>
    </xf>
    <xf numFmtId="164" fontId="6" fillId="0" borderId="1" xfId="2" applyNumberFormat="1" applyFont="1" applyBorder="1" applyAlignment="1">
      <alignment horizontal="center" vertical="center"/>
    </xf>
    <xf numFmtId="4" fontId="6" fillId="0" borderId="1" xfId="0" applyNumberFormat="1" applyFont="1" applyBorder="1" applyAlignment="1">
      <alignment horizontal="right" vertical="center" indent="1"/>
    </xf>
    <xf numFmtId="0" fontId="0" fillId="0" borderId="18" xfId="0" applyFill="1" applyBorder="1" applyAlignment="1">
      <alignment horizontal="center"/>
    </xf>
    <xf numFmtId="3" fontId="3" fillId="0" borderId="19" xfId="0" applyNumberFormat="1" applyFont="1" applyFill="1" applyBorder="1" applyAlignment="1">
      <alignment horizontal="center"/>
    </xf>
    <xf numFmtId="0" fontId="0" fillId="0" borderId="20" xfId="0" applyFill="1" applyBorder="1" applyAlignment="1">
      <alignment horizontal="center"/>
    </xf>
    <xf numFmtId="3" fontId="3" fillId="0" borderId="21" xfId="0" applyNumberFormat="1" applyFont="1" applyFill="1" applyBorder="1" applyAlignment="1">
      <alignment horizontal="center"/>
    </xf>
    <xf numFmtId="0" fontId="6" fillId="0" borderId="18" xfId="0" quotePrefix="1" applyFont="1" applyFill="1" applyBorder="1" applyAlignment="1">
      <alignment horizontal="right" indent="1"/>
    </xf>
    <xf numFmtId="169" fontId="6" fillId="0" borderId="18" xfId="0" applyNumberFormat="1" applyFont="1" applyFill="1" applyBorder="1" applyAlignment="1">
      <alignment horizontal="right" indent="1"/>
    </xf>
    <xf numFmtId="4" fontId="6" fillId="0" borderId="10" xfId="0" applyNumberFormat="1" applyFont="1" applyFill="1" applyBorder="1" applyAlignment="1">
      <alignment horizontal="right" indent="1"/>
    </xf>
    <xf numFmtId="0" fontId="6" fillId="0" borderId="18" xfId="0" applyFont="1" applyFill="1" applyBorder="1" applyAlignment="1">
      <alignment horizontal="right" indent="1"/>
    </xf>
    <xf numFmtId="44" fontId="6" fillId="10" borderId="1" xfId="1" applyNumberFormat="1" applyFont="1" applyFill="1" applyBorder="1" applyAlignment="1">
      <alignment vertical="center"/>
    </xf>
    <xf numFmtId="44" fontId="0" fillId="0" borderId="1" xfId="1" applyNumberFormat="1" applyFont="1" applyBorder="1" applyAlignment="1">
      <alignment vertical="center"/>
    </xf>
    <xf numFmtId="44" fontId="14" fillId="3" borderId="1" xfId="1" applyNumberFormat="1" applyFont="1" applyFill="1" applyBorder="1" applyAlignment="1">
      <alignment vertical="center"/>
    </xf>
    <xf numFmtId="173" fontId="0" fillId="0" borderId="5" xfId="0" applyNumberFormat="1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22" xfId="0" applyFill="1" applyBorder="1" applyAlignment="1">
      <alignment horizontal="center"/>
    </xf>
    <xf numFmtId="3" fontId="0" fillId="0" borderId="1" xfId="0" applyNumberFormat="1" applyBorder="1" applyAlignment="1">
      <alignment horizontal="left" vertical="center" indent="1"/>
    </xf>
    <xf numFmtId="9" fontId="2" fillId="12" borderId="1" xfId="2" applyFont="1" applyFill="1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5" xfId="0" applyBorder="1"/>
    <xf numFmtId="0" fontId="0" fillId="0" borderId="7" xfId="0" applyBorder="1"/>
    <xf numFmtId="4" fontId="15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9" fillId="9" borderId="1" xfId="0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/>
    </xf>
    <xf numFmtId="0" fontId="9" fillId="9" borderId="1" xfId="0" applyFont="1" applyFill="1" applyBorder="1" applyAlignment="1">
      <alignment horizontal="right" vertical="center"/>
    </xf>
    <xf numFmtId="0" fontId="0" fillId="7" borderId="1" xfId="0" applyFill="1" applyBorder="1" applyAlignment="1">
      <alignment horizontal="center" vertical="center"/>
    </xf>
    <xf numFmtId="165" fontId="0" fillId="7" borderId="1" xfId="1" applyNumberFormat="1" applyFont="1" applyFill="1" applyBorder="1" applyAlignment="1">
      <alignment horizontal="center" vertical="center"/>
    </xf>
    <xf numFmtId="0" fontId="9" fillId="6" borderId="5" xfId="0" applyFont="1" applyFill="1" applyBorder="1" applyAlignment="1">
      <alignment horizontal="left"/>
    </xf>
    <xf numFmtId="0" fontId="9" fillId="6" borderId="7" xfId="0" applyFont="1" applyFill="1" applyBorder="1" applyAlignment="1">
      <alignment horizontal="left"/>
    </xf>
    <xf numFmtId="0" fontId="9" fillId="6" borderId="9" xfId="0" applyFont="1" applyFill="1" applyBorder="1" applyAlignment="1">
      <alignment horizontal="center" vertical="center"/>
    </xf>
    <xf numFmtId="0" fontId="9" fillId="6" borderId="8" xfId="0" applyFont="1" applyFill="1" applyBorder="1" applyAlignment="1">
      <alignment horizontal="center" vertical="center"/>
    </xf>
    <xf numFmtId="0" fontId="9" fillId="11" borderId="1" xfId="0" applyFont="1" applyFill="1" applyBorder="1" applyAlignment="1">
      <alignment horizontal="center" vertical="center"/>
    </xf>
    <xf numFmtId="0" fontId="9" fillId="9" borderId="9" xfId="0" applyFont="1" applyFill="1" applyBorder="1" applyAlignment="1">
      <alignment horizontal="center" vertical="center"/>
    </xf>
    <xf numFmtId="0" fontId="9" fillId="9" borderId="8" xfId="0" applyFont="1" applyFill="1" applyBorder="1" applyAlignment="1">
      <alignment horizontal="center" vertical="center"/>
    </xf>
    <xf numFmtId="0" fontId="9" fillId="6" borderId="17" xfId="0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/>
    </xf>
    <xf numFmtId="168" fontId="6" fillId="0" borderId="1" xfId="0" applyNumberFormat="1" applyFont="1" applyBorder="1" applyAlignment="1">
      <alignment horizontal="center"/>
    </xf>
    <xf numFmtId="0" fontId="3" fillId="0" borderId="0" xfId="0" applyFont="1"/>
    <xf numFmtId="3" fontId="3" fillId="0" borderId="9" xfId="0" applyNumberFormat="1" applyFont="1" applyBorder="1" applyAlignment="1">
      <alignment horizontal="right"/>
    </xf>
    <xf numFmtId="0" fontId="0" fillId="0" borderId="11" xfId="0" applyBorder="1" applyAlignment="1">
      <alignment horizontal="center"/>
    </xf>
    <xf numFmtId="3" fontId="3" fillId="0" borderId="8" xfId="0" applyNumberFormat="1" applyFont="1" applyBorder="1" applyAlignment="1">
      <alignment horizontal="right"/>
    </xf>
    <xf numFmtId="3" fontId="10" fillId="0" borderId="4" xfId="0" applyNumberFormat="1" applyFont="1" applyBorder="1" applyAlignment="1">
      <alignment horizontal="right" indent="1"/>
    </xf>
    <xf numFmtId="3" fontId="3" fillId="0" borderId="19" xfId="0" applyNumberFormat="1" applyFont="1" applyBorder="1" applyAlignment="1">
      <alignment horizontal="right"/>
    </xf>
    <xf numFmtId="0" fontId="0" fillId="0" borderId="20" xfId="0" applyBorder="1" applyAlignment="1">
      <alignment horizontal="center"/>
    </xf>
    <xf numFmtId="3" fontId="3" fillId="0" borderId="21" xfId="0" applyNumberFormat="1" applyFont="1" applyBorder="1" applyAlignment="1">
      <alignment horizontal="right"/>
    </xf>
    <xf numFmtId="3" fontId="10" fillId="0" borderId="18" xfId="0" applyNumberFormat="1" applyFont="1" applyBorder="1" applyAlignment="1">
      <alignment horizontal="right" indent="1"/>
    </xf>
    <xf numFmtId="3" fontId="3" fillId="5" borderId="12" xfId="0" applyNumberFormat="1" applyFont="1" applyFill="1" applyBorder="1" applyAlignment="1">
      <alignment horizontal="right"/>
    </xf>
    <xf numFmtId="0" fontId="0" fillId="5" borderId="13" xfId="0" applyFill="1" applyBorder="1" applyAlignment="1">
      <alignment horizontal="center"/>
    </xf>
    <xf numFmtId="3" fontId="3" fillId="5" borderId="14" xfId="0" applyNumberFormat="1" applyFont="1" applyFill="1" applyBorder="1" applyAlignment="1">
      <alignment horizontal="right"/>
    </xf>
    <xf numFmtId="3" fontId="10" fillId="5" borderId="10" xfId="0" applyNumberFormat="1" applyFont="1" applyFill="1" applyBorder="1" applyAlignment="1">
      <alignment horizontal="right" indent="1"/>
    </xf>
    <xf numFmtId="3" fontId="3" fillId="5" borderId="26" xfId="0" applyNumberFormat="1" applyFont="1" applyFill="1" applyBorder="1" applyAlignment="1">
      <alignment horizontal="right"/>
    </xf>
    <xf numFmtId="0" fontId="0" fillId="5" borderId="27" xfId="0" applyFill="1" applyBorder="1" applyAlignment="1">
      <alignment horizontal="center"/>
    </xf>
    <xf numFmtId="3" fontId="3" fillId="5" borderId="28" xfId="0" applyNumberFormat="1" applyFont="1" applyFill="1" applyBorder="1" applyAlignment="1">
      <alignment horizontal="right"/>
    </xf>
    <xf numFmtId="3" fontId="10" fillId="5" borderId="25" xfId="0" applyNumberFormat="1" applyFont="1" applyFill="1" applyBorder="1" applyAlignment="1">
      <alignment horizontal="right" indent="1"/>
    </xf>
    <xf numFmtId="167" fontId="10" fillId="5" borderId="1" xfId="0" applyNumberFormat="1" applyFont="1" applyFill="1" applyBorder="1" applyAlignment="1">
      <alignment horizontal="right" indent="1"/>
    </xf>
    <xf numFmtId="0" fontId="19" fillId="0" borderId="0" xfId="0" applyFont="1"/>
    <xf numFmtId="0" fontId="20" fillId="2" borderId="5" xfId="0" applyFont="1" applyFill="1" applyBorder="1" applyAlignment="1">
      <alignment horizontal="center"/>
    </xf>
    <xf numFmtId="10" fontId="3" fillId="0" borderId="1" xfId="2" applyNumberFormat="1" applyFont="1" applyBorder="1" applyAlignment="1">
      <alignment horizontal="right" indent="1"/>
    </xf>
    <xf numFmtId="10" fontId="3" fillId="5" borderId="1" xfId="2" applyNumberFormat="1" applyFont="1" applyFill="1" applyBorder="1" applyAlignment="1">
      <alignment horizontal="right" indent="1"/>
    </xf>
    <xf numFmtId="10" fontId="3" fillId="5" borderId="10" xfId="2" applyNumberFormat="1" applyFont="1" applyFill="1" applyBorder="1" applyAlignment="1">
      <alignment horizontal="right" indent="1"/>
    </xf>
    <xf numFmtId="10" fontId="3" fillId="0" borderId="18" xfId="2" applyNumberFormat="1" applyFont="1" applyBorder="1" applyAlignment="1">
      <alignment horizontal="right" indent="1"/>
    </xf>
    <xf numFmtId="10" fontId="3" fillId="5" borderId="25" xfId="2" applyNumberFormat="1" applyFont="1" applyFill="1" applyBorder="1" applyAlignment="1">
      <alignment horizontal="right" indent="1"/>
    </xf>
    <xf numFmtId="10" fontId="3" fillId="0" borderId="4" xfId="2" applyNumberFormat="1" applyFont="1" applyBorder="1" applyAlignment="1">
      <alignment horizontal="right" indent="1"/>
    </xf>
    <xf numFmtId="164" fontId="3" fillId="5" borderId="25" xfId="2" applyNumberFormat="1" applyFont="1" applyFill="1" applyBorder="1" applyAlignment="1">
      <alignment horizontal="right" indent="1"/>
    </xf>
    <xf numFmtId="164" fontId="3" fillId="0" borderId="4" xfId="2" applyNumberFormat="1" applyFont="1" applyBorder="1" applyAlignment="1">
      <alignment horizontal="right" indent="1"/>
    </xf>
    <xf numFmtId="164" fontId="3" fillId="5" borderId="1" xfId="2" applyNumberFormat="1" applyFont="1" applyFill="1" applyBorder="1" applyAlignment="1">
      <alignment horizontal="right" indent="1"/>
    </xf>
    <xf numFmtId="164" fontId="3" fillId="0" borderId="1" xfId="2" applyNumberFormat="1" applyFont="1" applyBorder="1" applyAlignment="1">
      <alignment horizontal="right" indent="1"/>
    </xf>
    <xf numFmtId="164" fontId="3" fillId="5" borderId="10" xfId="2" applyNumberFormat="1" applyFont="1" applyFill="1" applyBorder="1" applyAlignment="1">
      <alignment horizontal="right" indent="1"/>
    </xf>
    <xf numFmtId="164" fontId="3" fillId="0" borderId="18" xfId="2" applyNumberFormat="1" applyFont="1" applyBorder="1" applyAlignment="1">
      <alignment horizontal="right" indent="1"/>
    </xf>
    <xf numFmtId="0" fontId="4" fillId="0" borderId="0" xfId="0" applyFont="1"/>
    <xf numFmtId="0" fontId="11" fillId="6" borderId="1" xfId="0" applyFont="1" applyFill="1" applyBorder="1" applyAlignment="1">
      <alignment horizontal="center"/>
    </xf>
    <xf numFmtId="0" fontId="20" fillId="2" borderId="1" xfId="0" applyFont="1" applyFill="1" applyBorder="1" applyAlignment="1">
      <alignment horizontal="center"/>
    </xf>
    <xf numFmtId="0" fontId="21" fillId="0" borderId="0" xfId="0" applyFont="1"/>
    <xf numFmtId="164" fontId="6" fillId="4" borderId="1" xfId="2" applyNumberFormat="1" applyFont="1" applyFill="1" applyBorder="1" applyAlignment="1">
      <alignment horizontal="center" vertical="center"/>
    </xf>
    <xf numFmtId="3" fontId="0" fillId="0" borderId="0" xfId="0" applyNumberFormat="1"/>
    <xf numFmtId="174" fontId="0" fillId="0" borderId="0" xfId="3" applyNumberFormat="1" applyFont="1"/>
    <xf numFmtId="0" fontId="5" fillId="3" borderId="6" xfId="0" applyFont="1" applyFill="1" applyBorder="1" applyAlignment="1">
      <alignment horizontal="center" vertical="center"/>
    </xf>
    <xf numFmtId="0" fontId="24" fillId="13" borderId="1" xfId="0" applyFont="1" applyFill="1" applyBorder="1" applyAlignment="1">
      <alignment horizontal="center" vertical="center"/>
    </xf>
    <xf numFmtId="4" fontId="0" fillId="0" borderId="1" xfId="0" applyNumberFormat="1" applyBorder="1" applyAlignment="1">
      <alignment vertical="center"/>
    </xf>
    <xf numFmtId="0" fontId="9" fillId="6" borderId="9" xfId="0" applyFont="1" applyFill="1" applyBorder="1" applyAlignment="1">
      <alignment horizontal="center" vertical="center"/>
    </xf>
    <xf numFmtId="0" fontId="9" fillId="6" borderId="8" xfId="0" applyFont="1" applyFill="1" applyBorder="1" applyAlignment="1">
      <alignment horizontal="center" vertical="center"/>
    </xf>
    <xf numFmtId="0" fontId="9" fillId="9" borderId="8" xfId="0" applyFont="1" applyFill="1" applyBorder="1" applyAlignment="1">
      <alignment horizontal="center" vertical="center"/>
    </xf>
    <xf numFmtId="0" fontId="9" fillId="9" borderId="9" xfId="0" applyFont="1" applyFill="1" applyBorder="1" applyAlignment="1">
      <alignment horizontal="center" vertical="center"/>
    </xf>
    <xf numFmtId="0" fontId="9" fillId="9" borderId="8" xfId="0" applyFont="1" applyFill="1" applyBorder="1" applyAlignment="1">
      <alignment horizontal="center" vertical="center"/>
    </xf>
    <xf numFmtId="165" fontId="9" fillId="9" borderId="9" xfId="1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3" fillId="5" borderId="10" xfId="0" applyFont="1" applyFill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5" borderId="25" xfId="0" applyFont="1" applyFill="1" applyBorder="1" applyAlignment="1">
      <alignment horizontal="center"/>
    </xf>
    <xf numFmtId="0" fontId="3" fillId="0" borderId="4" xfId="0" applyFont="1" applyBorder="1" applyAlignment="1">
      <alignment horizontal="center"/>
    </xf>
    <xf numFmtId="3" fontId="25" fillId="0" borderId="0" xfId="0" applyNumberFormat="1" applyFont="1" applyAlignment="1">
      <alignment vertical="center"/>
    </xf>
    <xf numFmtId="3" fontId="26" fillId="0" borderId="0" xfId="0" applyNumberFormat="1" applyFont="1" applyAlignment="1">
      <alignment vertical="center"/>
    </xf>
    <xf numFmtId="9" fontId="0" fillId="0" borderId="0" xfId="2" applyFont="1" applyBorder="1" applyAlignment="1">
      <alignment horizontal="center" vertical="center"/>
    </xf>
    <xf numFmtId="173" fontId="0" fillId="0" borderId="0" xfId="0" applyNumberFormat="1" applyBorder="1" applyAlignment="1">
      <alignment vertical="center"/>
    </xf>
    <xf numFmtId="4" fontId="0" fillId="0" borderId="0" xfId="0" applyNumberFormat="1" applyBorder="1" applyAlignment="1">
      <alignment vertical="center"/>
    </xf>
    <xf numFmtId="0" fontId="9" fillId="6" borderId="17" xfId="0" applyFont="1" applyFill="1" applyBorder="1" applyAlignment="1">
      <alignment horizontal="center" vertical="center"/>
    </xf>
    <xf numFmtId="0" fontId="9" fillId="9" borderId="9" xfId="0" applyFont="1" applyFill="1" applyBorder="1" applyAlignment="1">
      <alignment horizontal="center" vertical="center"/>
    </xf>
    <xf numFmtId="0" fontId="9" fillId="9" borderId="8" xfId="0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/>
    </xf>
    <xf numFmtId="3" fontId="3" fillId="0" borderId="12" xfId="0" applyNumberFormat="1" applyFont="1" applyBorder="1" applyAlignment="1">
      <alignment horizontal="right"/>
    </xf>
    <xf numFmtId="0" fontId="0" fillId="0" borderId="13" xfId="0" applyBorder="1" applyAlignment="1">
      <alignment horizontal="center"/>
    </xf>
    <xf numFmtId="3" fontId="3" fillId="0" borderId="14" xfId="0" applyNumberFormat="1" applyFont="1" applyBorder="1" applyAlignment="1">
      <alignment horizontal="right"/>
    </xf>
    <xf numFmtId="3" fontId="10" fillId="0" borderId="10" xfId="0" applyNumberFormat="1" applyFont="1" applyBorder="1" applyAlignment="1">
      <alignment horizontal="right" indent="1"/>
    </xf>
    <xf numFmtId="10" fontId="3" fillId="0" borderId="10" xfId="2" applyNumberFormat="1" applyFont="1" applyBorder="1" applyAlignment="1">
      <alignment horizontal="right" indent="1"/>
    </xf>
    <xf numFmtId="164" fontId="3" fillId="0" borderId="10" xfId="2" applyNumberFormat="1" applyFont="1" applyBorder="1" applyAlignment="1">
      <alignment horizontal="right" indent="1"/>
    </xf>
    <xf numFmtId="3" fontId="10" fillId="5" borderId="4" xfId="0" applyNumberFormat="1" applyFont="1" applyFill="1" applyBorder="1" applyAlignment="1">
      <alignment horizontal="right" indent="1"/>
    </xf>
    <xf numFmtId="10" fontId="3" fillId="5" borderId="4" xfId="2" applyNumberFormat="1" applyFont="1" applyFill="1" applyBorder="1" applyAlignment="1">
      <alignment horizontal="right" indent="1"/>
    </xf>
    <xf numFmtId="164" fontId="3" fillId="5" borderId="4" xfId="2" applyNumberFormat="1" applyFont="1" applyFill="1" applyBorder="1" applyAlignment="1">
      <alignment horizontal="right" indent="1"/>
    </xf>
    <xf numFmtId="0" fontId="3" fillId="0" borderId="5" xfId="0" applyFont="1" applyBorder="1" applyAlignment="1">
      <alignment horizontal="left" indent="1"/>
    </xf>
    <xf numFmtId="0" fontId="3" fillId="0" borderId="6" xfId="0" applyFont="1" applyBorder="1" applyAlignment="1">
      <alignment horizontal="left" indent="1"/>
    </xf>
    <xf numFmtId="0" fontId="3" fillId="0" borderId="7" xfId="0" applyFont="1" applyBorder="1" applyAlignment="1">
      <alignment horizontal="left" indent="1"/>
    </xf>
    <xf numFmtId="0" fontId="11" fillId="6" borderId="5" xfId="0" applyFont="1" applyFill="1" applyBorder="1" applyAlignment="1">
      <alignment horizontal="center"/>
    </xf>
    <xf numFmtId="0" fontId="11" fillId="6" borderId="6" xfId="0" applyFont="1" applyFill="1" applyBorder="1" applyAlignment="1">
      <alignment horizontal="center"/>
    </xf>
    <xf numFmtId="0" fontId="11" fillId="6" borderId="7" xfId="0" applyFont="1" applyFill="1" applyBorder="1" applyAlignment="1">
      <alignment horizontal="center"/>
    </xf>
    <xf numFmtId="0" fontId="11" fillId="6" borderId="9" xfId="0" applyFont="1" applyFill="1" applyBorder="1" applyAlignment="1">
      <alignment horizontal="center"/>
    </xf>
    <xf numFmtId="0" fontId="11" fillId="6" borderId="8" xfId="0" applyFont="1" applyFill="1" applyBorder="1" applyAlignment="1">
      <alignment horizontal="center"/>
    </xf>
    <xf numFmtId="0" fontId="3" fillId="5" borderId="26" xfId="0" applyFont="1" applyFill="1" applyBorder="1" applyAlignment="1">
      <alignment horizontal="left" indent="1"/>
    </xf>
    <xf numFmtId="0" fontId="3" fillId="5" borderId="27" xfId="0" applyFont="1" applyFill="1" applyBorder="1" applyAlignment="1">
      <alignment horizontal="left" indent="1"/>
    </xf>
    <xf numFmtId="0" fontId="3" fillId="5" borderId="28" xfId="0" applyFont="1" applyFill="1" applyBorder="1" applyAlignment="1">
      <alignment horizontal="left" indent="1"/>
    </xf>
    <xf numFmtId="0" fontId="9" fillId="6" borderId="5" xfId="0" applyFont="1" applyFill="1" applyBorder="1" applyAlignment="1">
      <alignment horizontal="center"/>
    </xf>
    <xf numFmtId="0" fontId="9" fillId="6" borderId="6" xfId="0" applyFont="1" applyFill="1" applyBorder="1" applyAlignment="1">
      <alignment horizontal="center"/>
    </xf>
    <xf numFmtId="0" fontId="9" fillId="6" borderId="7" xfId="0" applyFont="1" applyFill="1" applyBorder="1" applyAlignment="1">
      <alignment horizontal="center"/>
    </xf>
    <xf numFmtId="0" fontId="9" fillId="6" borderId="9" xfId="0" applyFont="1" applyFill="1" applyBorder="1" applyAlignment="1">
      <alignment horizontal="center" vertical="center"/>
    </xf>
    <xf numFmtId="0" fontId="9" fillId="6" borderId="8" xfId="0" applyFont="1" applyFill="1" applyBorder="1" applyAlignment="1">
      <alignment horizontal="center" vertical="center"/>
    </xf>
    <xf numFmtId="0" fontId="9" fillId="9" borderId="15" xfId="0" applyFont="1" applyFill="1" applyBorder="1" applyAlignment="1">
      <alignment horizontal="center" vertical="center"/>
    </xf>
    <xf numFmtId="0" fontId="9" fillId="9" borderId="16" xfId="0" applyFont="1" applyFill="1" applyBorder="1" applyAlignment="1">
      <alignment horizontal="center" vertical="center"/>
    </xf>
    <xf numFmtId="0" fontId="9" fillId="9" borderId="17" xfId="0" applyFont="1" applyFill="1" applyBorder="1" applyAlignment="1">
      <alignment horizontal="center" vertical="center"/>
    </xf>
    <xf numFmtId="0" fontId="9" fillId="11" borderId="1" xfId="0" applyFont="1" applyFill="1" applyBorder="1" applyAlignment="1">
      <alignment horizontal="center" vertical="center"/>
    </xf>
    <xf numFmtId="165" fontId="9" fillId="8" borderId="5" xfId="1" applyNumberFormat="1" applyFont="1" applyFill="1" applyBorder="1" applyAlignment="1">
      <alignment horizontal="center" vertical="center"/>
    </xf>
    <xf numFmtId="165" fontId="9" fillId="8" borderId="6" xfId="1" applyNumberFormat="1" applyFont="1" applyFill="1" applyBorder="1" applyAlignment="1">
      <alignment horizontal="center" vertical="center"/>
    </xf>
    <xf numFmtId="165" fontId="9" fillId="8" borderId="7" xfId="1" applyNumberFormat="1" applyFont="1" applyFill="1" applyBorder="1" applyAlignment="1">
      <alignment horizontal="center" vertical="center"/>
    </xf>
    <xf numFmtId="165" fontId="9" fillId="11" borderId="5" xfId="1" applyNumberFormat="1" applyFont="1" applyFill="1" applyBorder="1" applyAlignment="1">
      <alignment horizontal="center" vertical="center"/>
    </xf>
    <xf numFmtId="165" fontId="9" fillId="11" borderId="6" xfId="1" applyNumberFormat="1" applyFont="1" applyFill="1" applyBorder="1" applyAlignment="1">
      <alignment horizontal="center" vertical="center"/>
    </xf>
    <xf numFmtId="165" fontId="9" fillId="11" borderId="7" xfId="1" applyNumberFormat="1" applyFont="1" applyFill="1" applyBorder="1" applyAlignment="1">
      <alignment horizontal="center" vertical="center"/>
    </xf>
    <xf numFmtId="0" fontId="9" fillId="9" borderId="9" xfId="0" applyFont="1" applyFill="1" applyBorder="1" applyAlignment="1">
      <alignment horizontal="center" vertical="center"/>
    </xf>
    <xf numFmtId="0" fontId="9" fillId="9" borderId="8" xfId="0" applyFont="1" applyFill="1" applyBorder="1" applyAlignment="1">
      <alignment horizontal="center" vertical="center"/>
    </xf>
    <xf numFmtId="9" fontId="2" fillId="4" borderId="5" xfId="2" applyFont="1" applyFill="1" applyBorder="1" applyAlignment="1">
      <alignment horizontal="center" vertical="center"/>
    </xf>
    <xf numFmtId="9" fontId="2" fillId="4" borderId="7" xfId="2" applyFont="1" applyFill="1" applyBorder="1" applyAlignment="1">
      <alignment horizontal="center" vertical="center"/>
    </xf>
    <xf numFmtId="0" fontId="9" fillId="6" borderId="15" xfId="0" applyFont="1" applyFill="1" applyBorder="1" applyAlignment="1">
      <alignment horizontal="center" vertical="center"/>
    </xf>
    <xf numFmtId="0" fontId="9" fillId="6" borderId="16" xfId="0" applyFont="1" applyFill="1" applyBorder="1" applyAlignment="1">
      <alignment horizontal="center" vertical="center"/>
    </xf>
    <xf numFmtId="0" fontId="9" fillId="6" borderId="17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9" fillId="6" borderId="2" xfId="0" applyFont="1" applyFill="1" applyBorder="1" applyAlignment="1">
      <alignment horizontal="center" vertical="center"/>
    </xf>
    <xf numFmtId="0" fontId="9" fillId="6" borderId="4" xfId="0" applyFont="1" applyFill="1" applyBorder="1" applyAlignment="1">
      <alignment horizontal="center" vertical="center"/>
    </xf>
    <xf numFmtId="0" fontId="9" fillId="6" borderId="23" xfId="0" applyFont="1" applyFill="1" applyBorder="1" applyAlignment="1">
      <alignment horizontal="center" vertical="center"/>
    </xf>
    <xf numFmtId="0" fontId="9" fillId="6" borderId="0" xfId="0" applyFont="1" applyFill="1" applyBorder="1" applyAlignment="1">
      <alignment horizontal="center" vertical="center"/>
    </xf>
    <xf numFmtId="0" fontId="9" fillId="6" borderId="24" xfId="0" applyFont="1" applyFill="1" applyBorder="1" applyAlignment="1">
      <alignment horizontal="center" vertical="center"/>
    </xf>
  </cellXfs>
  <cellStyles count="4">
    <cellStyle name="Millares" xfId="3" builtinId="3"/>
    <cellStyle name="Moneda" xfId="1" builtinId="4"/>
    <cellStyle name="Normal" xfId="0" builtinId="0"/>
    <cellStyle name="Porcentaje" xfId="2" builtinId="5"/>
  </cellStyles>
  <dxfs count="60"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99"/>
      <color rgb="FFFDEAD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35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41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75000"/>
                    <a:lumOff val="25000"/>
                  </a:schemeClr>
                </a:solidFill>
                <a:latin typeface="Arial Rounded MT Bold" panose="020F0704030504030204" pitchFamily="34" charset="0"/>
                <a:ea typeface="+mn-ea"/>
                <a:cs typeface="+mn-cs"/>
              </a:defRPr>
            </a:pPr>
            <a:r>
              <a:rPr lang="el-GR" sz="1400">
                <a:solidFill>
                  <a:schemeClr val="tx1">
                    <a:lumMod val="75000"/>
                    <a:lumOff val="25000"/>
                  </a:schemeClr>
                </a:solidFill>
              </a:rPr>
              <a:t>Δ</a:t>
            </a:r>
            <a:r>
              <a:rPr lang="en-US" sz="1400">
                <a:solidFill>
                  <a:schemeClr val="tx1">
                    <a:lumMod val="75000"/>
                    <a:lumOff val="25000"/>
                  </a:schemeClr>
                </a:solidFill>
                <a:latin typeface="Arial Rounded MT Bold" panose="020F0704030504030204" pitchFamily="34" charset="0"/>
              </a:rPr>
              <a:t> €/año</a:t>
            </a:r>
            <a:r>
              <a:rPr lang="en-US" sz="1400" baseline="0">
                <a:solidFill>
                  <a:schemeClr val="tx1">
                    <a:lumMod val="75000"/>
                    <a:lumOff val="25000"/>
                  </a:schemeClr>
                </a:solidFill>
                <a:latin typeface="Arial Rounded MT Bold" panose="020F0704030504030204" pitchFamily="34" charset="0"/>
              </a:rPr>
              <a:t> ATR</a:t>
            </a:r>
            <a:r>
              <a:rPr lang="en-US" sz="1400">
                <a:solidFill>
                  <a:schemeClr val="tx1">
                    <a:lumMod val="75000"/>
                    <a:lumOff val="25000"/>
                  </a:schemeClr>
                </a:solidFill>
                <a:latin typeface="Arial Rounded MT Bold" panose="020F0704030504030204" pitchFamily="34" charset="0"/>
              </a:rPr>
              <a:t> Grupo 2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'Grupo 2'!$AZ$9</c:f>
              <c:strCache>
                <c:ptCount val="1"/>
                <c:pt idx="0">
                  <c:v>D €/año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Pt>
            <c:idx val="17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6D37-4FB8-8997-015D280517A7}"/>
              </c:ext>
            </c:extLst>
          </c:dPt>
          <c:dPt>
            <c:idx val="18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6D37-4FB8-8997-015D280517A7}"/>
              </c:ext>
            </c:extLst>
          </c:dPt>
          <c:dPt>
            <c:idx val="19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6D37-4FB8-8997-015D280517A7}"/>
              </c:ext>
            </c:extLst>
          </c:dPt>
          <c:dPt>
            <c:idx val="20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0-94A7-4601-973D-48B1BE4D2908}"/>
              </c:ext>
            </c:extLst>
          </c:dPt>
          <c:dPt>
            <c:idx val="2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94A7-4601-973D-48B1BE4D2908}"/>
              </c:ext>
            </c:extLst>
          </c:dPt>
          <c:dPt>
            <c:idx val="22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94A7-4601-973D-48B1BE4D2908}"/>
              </c:ext>
            </c:extLst>
          </c:dPt>
          <c:dPt>
            <c:idx val="23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94A7-4601-973D-48B1BE4D2908}"/>
              </c:ext>
            </c:extLst>
          </c:dPt>
          <c:dPt>
            <c:idx val="24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94A7-4601-973D-48B1BE4D2908}"/>
              </c:ext>
            </c:extLst>
          </c:dPt>
          <c:dPt>
            <c:idx val="25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94A7-4601-973D-48B1BE4D2908}"/>
              </c:ext>
            </c:extLst>
          </c:dPt>
          <c:dPt>
            <c:idx val="26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A-94A7-4601-973D-48B1BE4D2908}"/>
              </c:ext>
            </c:extLst>
          </c:dPt>
          <c:dPt>
            <c:idx val="27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94A7-4601-973D-48B1BE4D2908}"/>
              </c:ext>
            </c:extLst>
          </c:dPt>
          <c:dPt>
            <c:idx val="28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8-94A7-4601-973D-48B1BE4D2908}"/>
              </c:ext>
            </c:extLst>
          </c:dPt>
          <c:dPt>
            <c:idx val="29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94A7-4601-973D-48B1BE4D2908}"/>
              </c:ext>
            </c:extLst>
          </c:dPt>
          <c:dPt>
            <c:idx val="30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94A7-4601-973D-48B1BE4D2908}"/>
              </c:ext>
            </c:extLst>
          </c:dPt>
          <c:dPt>
            <c:idx val="31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94A7-4601-973D-48B1BE4D2908}"/>
              </c:ext>
            </c:extLst>
          </c:dPt>
          <c:dPt>
            <c:idx val="32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F-6D37-4FB8-8997-015D280517A7}"/>
              </c:ext>
            </c:extLst>
          </c:dPt>
          <c:dPt>
            <c:idx val="33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1-6D37-4FB8-8997-015D280517A7}"/>
              </c:ext>
            </c:extLst>
          </c:dPt>
          <c:dPt>
            <c:idx val="34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3-6D37-4FB8-8997-015D280517A7}"/>
              </c:ext>
            </c:extLst>
          </c:dPt>
          <c:dPt>
            <c:idx val="35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5-6D37-4FB8-8997-015D280517A7}"/>
              </c:ext>
            </c:extLst>
          </c:dPt>
          <c:dPt>
            <c:idx val="36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7-6D37-4FB8-8997-015D280517A7}"/>
              </c:ext>
            </c:extLst>
          </c:dPt>
          <c:dPt>
            <c:idx val="37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9-6D37-4FB8-8997-015D280517A7}"/>
              </c:ext>
            </c:extLst>
          </c:dPt>
          <c:dPt>
            <c:idx val="38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B-6D37-4FB8-8997-015D280517A7}"/>
              </c:ext>
            </c:extLst>
          </c:dPt>
          <c:dPt>
            <c:idx val="39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D-6D37-4FB8-8997-015D280517A7}"/>
              </c:ext>
            </c:extLst>
          </c:dPt>
          <c:cat>
            <c:numRef>
              <c:f>'Grupo 2'!$B$10:$B$39</c:f>
              <c:numCache>
                <c:formatCode>#,##0</c:formatCode>
                <c:ptCount val="30"/>
                <c:pt idx="0">
                  <c:v>100</c:v>
                </c:pt>
                <c:pt idx="1">
                  <c:v>500</c:v>
                </c:pt>
                <c:pt idx="2">
                  <c:v>750</c:v>
                </c:pt>
                <c:pt idx="3">
                  <c:v>1000</c:v>
                </c:pt>
                <c:pt idx="4">
                  <c:v>1500</c:v>
                </c:pt>
                <c:pt idx="5">
                  <c:v>3000</c:v>
                </c:pt>
                <c:pt idx="6">
                  <c:v>4000</c:v>
                </c:pt>
                <c:pt idx="7">
                  <c:v>5000</c:v>
                </c:pt>
                <c:pt idx="8">
                  <c:v>7500</c:v>
                </c:pt>
                <c:pt idx="9">
                  <c:v>10000</c:v>
                </c:pt>
                <c:pt idx="10">
                  <c:v>15000</c:v>
                </c:pt>
                <c:pt idx="11">
                  <c:v>20000</c:v>
                </c:pt>
                <c:pt idx="12">
                  <c:v>25000</c:v>
                </c:pt>
                <c:pt idx="13">
                  <c:v>30000</c:v>
                </c:pt>
                <c:pt idx="14">
                  <c:v>35000</c:v>
                </c:pt>
                <c:pt idx="15">
                  <c:v>40000</c:v>
                </c:pt>
                <c:pt idx="16">
                  <c:v>50000</c:v>
                </c:pt>
                <c:pt idx="17">
                  <c:v>75000</c:v>
                </c:pt>
                <c:pt idx="18">
                  <c:v>100000</c:v>
                </c:pt>
                <c:pt idx="19">
                  <c:v>200000</c:v>
                </c:pt>
                <c:pt idx="20">
                  <c:v>250000</c:v>
                </c:pt>
                <c:pt idx="21">
                  <c:v>300000</c:v>
                </c:pt>
                <c:pt idx="22">
                  <c:v>350000</c:v>
                </c:pt>
                <c:pt idx="23">
                  <c:v>400000</c:v>
                </c:pt>
                <c:pt idx="24">
                  <c:v>450000</c:v>
                </c:pt>
                <c:pt idx="25">
                  <c:v>500000</c:v>
                </c:pt>
                <c:pt idx="26">
                  <c:v>700000</c:v>
                </c:pt>
                <c:pt idx="27">
                  <c:v>900000</c:v>
                </c:pt>
                <c:pt idx="28">
                  <c:v>1000000</c:v>
                </c:pt>
                <c:pt idx="29">
                  <c:v>2000000</c:v>
                </c:pt>
              </c:numCache>
            </c:numRef>
          </c:cat>
          <c:val>
            <c:numRef>
              <c:f>'Grupo 2'!$AZ$10:$AZ$39</c:f>
              <c:numCache>
                <c:formatCode>#,##0.00\ "€"</c:formatCode>
                <c:ptCount val="30"/>
                <c:pt idx="0">
                  <c:v>964.31066357775967</c:v>
                </c:pt>
                <c:pt idx="1">
                  <c:v>4816.3613178888008</c:v>
                </c:pt>
                <c:pt idx="2">
                  <c:v>11534.640216962129</c:v>
                </c:pt>
                <c:pt idx="3">
                  <c:v>14491.804289282838</c:v>
                </c:pt>
                <c:pt idx="4">
                  <c:v>20406.132433924256</c:v>
                </c:pt>
                <c:pt idx="5">
                  <c:v>31587.192867848516</c:v>
                </c:pt>
                <c:pt idx="6">
                  <c:v>37672.84915713135</c:v>
                </c:pt>
                <c:pt idx="7">
                  <c:v>43758.505446414179</c:v>
                </c:pt>
                <c:pt idx="8">
                  <c:v>22797.56721394038</c:v>
                </c:pt>
                <c:pt idx="9">
                  <c:v>30396.756285253825</c:v>
                </c:pt>
                <c:pt idx="10">
                  <c:v>45595.134427880759</c:v>
                </c:pt>
                <c:pt idx="11">
                  <c:v>18670.966236905719</c:v>
                </c:pt>
                <c:pt idx="12">
                  <c:v>23338.707796132163</c:v>
                </c:pt>
                <c:pt idx="13">
                  <c:v>28006.449355358563</c:v>
                </c:pt>
                <c:pt idx="14">
                  <c:v>42245.63329975825</c:v>
                </c:pt>
                <c:pt idx="15">
                  <c:v>48280.723771152261</c:v>
                </c:pt>
                <c:pt idx="16">
                  <c:v>60350.904713940399</c:v>
                </c:pt>
                <c:pt idx="17">
                  <c:v>2482.8840652699</c:v>
                </c:pt>
                <c:pt idx="18">
                  <c:v>3310.5120870266692</c:v>
                </c:pt>
                <c:pt idx="19">
                  <c:v>12150.274778404506</c:v>
                </c:pt>
                <c:pt idx="20">
                  <c:v>15187.843473005574</c:v>
                </c:pt>
                <c:pt idx="21">
                  <c:v>18225.412167606875</c:v>
                </c:pt>
                <c:pt idx="22">
                  <c:v>21262.980862207944</c:v>
                </c:pt>
                <c:pt idx="23">
                  <c:v>24300.549556809012</c:v>
                </c:pt>
                <c:pt idx="24">
                  <c:v>27338.118251409847</c:v>
                </c:pt>
                <c:pt idx="25">
                  <c:v>30375.686946011148</c:v>
                </c:pt>
                <c:pt idx="26">
                  <c:v>-99760.178485092707</c:v>
                </c:pt>
                <c:pt idx="27">
                  <c:v>-128263.08662369056</c:v>
                </c:pt>
                <c:pt idx="28">
                  <c:v>-142514.54069298971</c:v>
                </c:pt>
                <c:pt idx="29">
                  <c:v>-285029.08138597943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9A52-49EF-8CF6-F9B5C41CCC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8"/>
        <c:overlap val="-100"/>
        <c:axId val="182266880"/>
        <c:axId val="182269056"/>
      </c:barChart>
      <c:catAx>
        <c:axId val="1822668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rgbClr val="0070C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es-ES" sz="1400">
                    <a:solidFill>
                      <a:srgbClr val="0070C0"/>
                    </a:solidFill>
                  </a:rPr>
                  <a:t>Consumo</a:t>
                </a:r>
                <a:r>
                  <a:rPr lang="es-ES" sz="1400" baseline="0">
                    <a:solidFill>
                      <a:srgbClr val="0070C0"/>
                    </a:solidFill>
                  </a:rPr>
                  <a:t> MWh/año</a:t>
                </a:r>
                <a:endParaRPr lang="es-ES" sz="1400">
                  <a:solidFill>
                    <a:srgbClr val="0070C0"/>
                  </a:solidFill>
                </a:endParaRPr>
              </a:p>
            </c:rich>
          </c:tx>
          <c:layout>
            <c:manualLayout>
              <c:xMode val="edge"/>
              <c:yMode val="edge"/>
              <c:x val="0.43311625440759305"/>
              <c:y val="0.91666652068936316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" sourceLinked="1"/>
        <c:majorTickMark val="cross"/>
        <c:minorTickMark val="none"/>
        <c:tickLblPos val="low"/>
        <c:spPr>
          <a:noFill/>
          <a:ln w="15875" cap="flat" cmpd="sng" algn="ctr">
            <a:solidFill>
              <a:srgbClr val="002060"/>
            </a:solidFill>
            <a:round/>
          </a:ln>
          <a:effectLst/>
        </c:spPr>
        <c:txPr>
          <a:bodyPr rot="-414000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rgbClr val="0070C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s-ES"/>
          </a:p>
        </c:txPr>
        <c:crossAx val="182269056"/>
        <c:crossesAt val="0"/>
        <c:auto val="1"/>
        <c:lblAlgn val="ctr"/>
        <c:lblOffset val="100"/>
        <c:noMultiLvlLbl val="0"/>
      </c:catAx>
      <c:valAx>
        <c:axId val="1822690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lgDash"/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75000"/>
                    <a:lumOff val="2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s-ES"/>
          </a:p>
        </c:txPr>
        <c:crossAx val="182266880"/>
        <c:crosses val="autoZero"/>
        <c:crossBetween val="between"/>
        <c:dispUnits>
          <c:builtInUnit val="thousands"/>
          <c:dispUnitsLbl>
            <c:layout/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r>
                    <a:rPr lang="es-ES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</a:rPr>
                    <a:t>Miles euros</a:t>
                  </a:r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Arial Narrow" panose="020B060602020203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75000"/>
                    <a:lumOff val="25000"/>
                  </a:schemeClr>
                </a:solidFill>
                <a:latin typeface="Arial Rounded MT Bold" panose="020F0704030504030204" pitchFamily="34" charset="0"/>
                <a:ea typeface="+mn-ea"/>
                <a:cs typeface="+mn-cs"/>
              </a:defRPr>
            </a:pPr>
            <a:r>
              <a:rPr lang="el-GR">
                <a:solidFill>
                  <a:schemeClr val="tx1">
                    <a:lumMod val="75000"/>
                    <a:lumOff val="25000"/>
                  </a:schemeClr>
                </a:solidFill>
              </a:rPr>
              <a:t>Δ</a:t>
            </a:r>
            <a:r>
              <a:rPr lang="en-US">
                <a:solidFill>
                  <a:schemeClr val="tx1">
                    <a:lumMod val="75000"/>
                    <a:lumOff val="25000"/>
                  </a:schemeClr>
                </a:solidFill>
                <a:latin typeface="Arial Rounded MT Bold" panose="020F0704030504030204" pitchFamily="34" charset="0"/>
              </a:rPr>
              <a:t> €</a:t>
            </a:r>
            <a:r>
              <a:rPr lang="en-US" baseline="0">
                <a:solidFill>
                  <a:schemeClr val="tx1">
                    <a:lumMod val="75000"/>
                    <a:lumOff val="25000"/>
                  </a:schemeClr>
                </a:solidFill>
                <a:latin typeface="Arial Rounded MT Bold" panose="020F0704030504030204" pitchFamily="34" charset="0"/>
              </a:rPr>
              <a:t> ATR </a:t>
            </a:r>
            <a:r>
              <a:rPr lang="en-US">
                <a:solidFill>
                  <a:schemeClr val="tx1">
                    <a:lumMod val="75000"/>
                    <a:lumOff val="25000"/>
                  </a:schemeClr>
                </a:solidFill>
                <a:latin typeface="Arial Rounded MT Bold" panose="020F0704030504030204" pitchFamily="34" charset="0"/>
              </a:rPr>
              <a:t>Peaje 3.5</a:t>
            </a:r>
          </a:p>
        </c:rich>
      </c:tx>
      <c:layout>
        <c:manualLayout>
          <c:xMode val="edge"/>
          <c:yMode val="edge"/>
          <c:x val="0.4034578859460749"/>
          <c:y val="2.224694104560623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'Peaje 3.5'!$AZ$9</c:f>
              <c:strCache>
                <c:ptCount val="1"/>
                <c:pt idx="0">
                  <c:v>D €/año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bg1"/>
              </a:solidFill>
              <a:ln w="9525">
                <a:solidFill>
                  <a:srgbClr val="C00000"/>
                </a:solidFill>
              </a:ln>
              <a:effectLst/>
            </c:spPr>
          </c:marker>
          <c:dLbls>
            <c:dLbl>
              <c:idx val="0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36A-4C55-9B1C-8C26B87C8242}"/>
                </c:ext>
              </c:extLst>
            </c:dLbl>
            <c:dLbl>
              <c:idx val="1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36A-4C55-9B1C-8C26B87C8242}"/>
                </c:ext>
              </c:extLst>
            </c:dLbl>
            <c:dLbl>
              <c:idx val="2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36A-4C55-9B1C-8C26B87C8242}"/>
                </c:ext>
              </c:extLst>
            </c:dLbl>
            <c:dLbl>
              <c:idx val="4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36A-4C55-9B1C-8C26B87C8242}"/>
                </c:ext>
              </c:extLst>
            </c:dLbl>
            <c:dLbl>
              <c:idx val="5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436A-4C55-9B1C-8C26B87C8242}"/>
                </c:ext>
              </c:extLst>
            </c:dLbl>
            <c:dLbl>
              <c:idx val="6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36A-4C55-9B1C-8C26B87C8242}"/>
                </c:ext>
              </c:extLst>
            </c:dLbl>
            <c:dLbl>
              <c:idx val="7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36A-4C55-9B1C-8C26B87C8242}"/>
                </c:ext>
              </c:extLst>
            </c:dLbl>
            <c:dLbl>
              <c:idx val="8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36A-4C55-9B1C-8C26B87C8242}"/>
                </c:ext>
              </c:extLst>
            </c:dLbl>
            <c:dLbl>
              <c:idx val="9"/>
              <c:spPr/>
              <c:txPr>
                <a:bodyPr/>
                <a:lstStyle/>
                <a:p>
                  <a:pPr>
                    <a:defRPr sz="1200">
                      <a:solidFill>
                        <a:srgbClr val="00B050"/>
                      </a:solidFill>
                    </a:defRPr>
                  </a:pPr>
                  <a:endParaRPr lang="es-E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36A-4C55-9B1C-8C26B87C8242}"/>
                </c:ext>
              </c:extLst>
            </c:dLbl>
            <c:dLbl>
              <c:idx val="11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36A-4C55-9B1C-8C26B87C8242}"/>
                </c:ext>
              </c:extLst>
            </c:dLbl>
            <c:dLbl>
              <c:idx val="12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36A-4C55-9B1C-8C26B87C824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>
                    <a:solidFill>
                      <a:srgbClr val="C00000"/>
                    </a:solidFill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'Peaje 3.5'!$B$10:$B$22</c:f>
              <c:numCache>
                <c:formatCode>#,##0</c:formatCode>
                <c:ptCount val="13"/>
                <c:pt idx="0">
                  <c:v>8250</c:v>
                </c:pt>
                <c:pt idx="1">
                  <c:v>8500</c:v>
                </c:pt>
                <c:pt idx="2">
                  <c:v>9000</c:v>
                </c:pt>
                <c:pt idx="3">
                  <c:v>9500</c:v>
                </c:pt>
                <c:pt idx="4">
                  <c:v>10000</c:v>
                </c:pt>
                <c:pt idx="5">
                  <c:v>12500</c:v>
                </c:pt>
                <c:pt idx="6">
                  <c:v>15000</c:v>
                </c:pt>
                <c:pt idx="7">
                  <c:v>17500</c:v>
                </c:pt>
                <c:pt idx="8">
                  <c:v>20000</c:v>
                </c:pt>
                <c:pt idx="9">
                  <c:v>22500</c:v>
                </c:pt>
                <c:pt idx="10">
                  <c:v>25000</c:v>
                </c:pt>
                <c:pt idx="11">
                  <c:v>27500</c:v>
                </c:pt>
                <c:pt idx="12">
                  <c:v>30000</c:v>
                </c:pt>
              </c:numCache>
            </c:numRef>
          </c:cat>
          <c:val>
            <c:numRef>
              <c:f>'Peaje 3.5'!$BA$10:$BA$22</c:f>
              <c:numCache>
                <c:formatCode>0%</c:formatCode>
                <c:ptCount val="13"/>
                <c:pt idx="0">
                  <c:v>0.30843958095446533</c:v>
                </c:pt>
                <c:pt idx="1">
                  <c:v>0.30843958095446544</c:v>
                </c:pt>
                <c:pt idx="2">
                  <c:v>0.30843958095446528</c:v>
                </c:pt>
                <c:pt idx="3">
                  <c:v>0.30843958095446555</c:v>
                </c:pt>
                <c:pt idx="4">
                  <c:v>0.30843958095446533</c:v>
                </c:pt>
                <c:pt idx="5">
                  <c:v>0.30843958095446561</c:v>
                </c:pt>
                <c:pt idx="6">
                  <c:v>0.30843958095446561</c:v>
                </c:pt>
                <c:pt idx="7">
                  <c:v>-6.7912899955794387E-2</c:v>
                </c:pt>
                <c:pt idx="8">
                  <c:v>-6.7912899955794498E-2</c:v>
                </c:pt>
                <c:pt idx="9">
                  <c:v>-6.7912899955794581E-2</c:v>
                </c:pt>
                <c:pt idx="10">
                  <c:v>-6.7912899955794331E-2</c:v>
                </c:pt>
                <c:pt idx="11">
                  <c:v>-6.7912899955794512E-2</c:v>
                </c:pt>
                <c:pt idx="12">
                  <c:v>-6.7912899955794581E-2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212E-4C6B-8902-967E40CE01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715328"/>
        <c:axId val="183717248"/>
      </c:lineChart>
      <c:catAx>
        <c:axId val="1837153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rgbClr val="0070C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es-ES" sz="1400">
                    <a:solidFill>
                      <a:srgbClr val="0070C0"/>
                    </a:solidFill>
                  </a:rPr>
                  <a:t>Consumo MWh/año</a:t>
                </a:r>
              </a:p>
            </c:rich>
          </c:tx>
          <c:layout>
            <c:manualLayout>
              <c:xMode val="edge"/>
              <c:yMode val="edge"/>
              <c:x val="0.36579461240334976"/>
              <c:y val="0.91826043614675734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" sourceLinked="1"/>
        <c:majorTickMark val="cross"/>
        <c:minorTickMark val="none"/>
        <c:tickLblPos val="low"/>
        <c:spPr>
          <a:noFill/>
          <a:ln w="12700" cap="flat" cmpd="sng" algn="ctr">
            <a:solidFill>
              <a:srgbClr val="002060"/>
            </a:solidFill>
            <a:round/>
          </a:ln>
          <a:effectLst/>
        </c:spPr>
        <c:txPr>
          <a:bodyPr rot="-4020000" spcFirstLastPara="1" vertOverflow="ellipsis" wrap="square" anchor="ctr" anchorCtr="1"/>
          <a:lstStyle/>
          <a:p>
            <a:pPr>
              <a:defRPr sz="1050" b="0" i="0" u="none" strike="noStrike" kern="1200" baseline="0">
                <a:solidFill>
                  <a:srgbClr val="0070C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s-ES"/>
          </a:p>
        </c:txPr>
        <c:crossAx val="183717248"/>
        <c:crossesAt val="0"/>
        <c:auto val="1"/>
        <c:lblAlgn val="ctr"/>
        <c:lblOffset val="100"/>
        <c:noMultiLvlLbl val="0"/>
      </c:catAx>
      <c:valAx>
        <c:axId val="1837172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lgDash"/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75000"/>
                    <a:lumOff val="2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s-ES"/>
          </a:p>
        </c:txPr>
        <c:crossAx val="1837153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Arial Narrow" panose="020B060602020203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75000"/>
                    <a:lumOff val="25000"/>
                  </a:schemeClr>
                </a:solidFill>
                <a:latin typeface="Arial Rounded MT Bold" panose="020F0704030504030204" pitchFamily="34" charset="0"/>
                <a:ea typeface="+mn-ea"/>
                <a:cs typeface="+mn-cs"/>
              </a:defRPr>
            </a:pPr>
            <a:r>
              <a:rPr lang="en-US">
                <a:solidFill>
                  <a:schemeClr val="tx1">
                    <a:lumMod val="75000"/>
                    <a:lumOff val="25000"/>
                  </a:schemeClr>
                </a:solidFill>
                <a:latin typeface="Arial Rounded MT Bold" panose="020F0704030504030204" pitchFamily="34" charset="0"/>
              </a:rPr>
              <a:t>€/MWh</a:t>
            </a:r>
            <a:r>
              <a:rPr lang="en-US" baseline="0">
                <a:solidFill>
                  <a:schemeClr val="tx1">
                    <a:lumMod val="75000"/>
                    <a:lumOff val="25000"/>
                  </a:schemeClr>
                </a:solidFill>
                <a:latin typeface="Arial Rounded MT Bold" panose="020F0704030504030204" pitchFamily="34" charset="0"/>
              </a:rPr>
              <a:t> Peajes ATR</a:t>
            </a:r>
            <a:r>
              <a:rPr lang="en-US">
                <a:solidFill>
                  <a:schemeClr val="tx1">
                    <a:lumMod val="75000"/>
                    <a:lumOff val="25000"/>
                  </a:schemeClr>
                </a:solidFill>
                <a:latin typeface="Arial Rounded MT Bold" panose="020F0704030504030204" pitchFamily="34" charset="0"/>
              </a:rPr>
              <a:t> Peaje</a:t>
            </a:r>
            <a:r>
              <a:rPr lang="en-US" baseline="0">
                <a:solidFill>
                  <a:schemeClr val="tx1">
                    <a:lumMod val="75000"/>
                    <a:lumOff val="25000"/>
                  </a:schemeClr>
                </a:solidFill>
                <a:latin typeface="Arial Rounded MT Bold" panose="020F0704030504030204" pitchFamily="34" charset="0"/>
              </a:rPr>
              <a:t> 3.5</a:t>
            </a:r>
            <a:endParaRPr lang="en-US">
              <a:solidFill>
                <a:schemeClr val="tx1">
                  <a:lumMod val="75000"/>
                  <a:lumOff val="25000"/>
                </a:schemeClr>
              </a:solidFill>
              <a:latin typeface="Arial Rounded MT Bold" panose="020F0704030504030204" pitchFamily="34" charset="0"/>
            </a:endParaRPr>
          </a:p>
        </c:rich>
      </c:tx>
      <c:layout>
        <c:manualLayout>
          <c:xMode val="edge"/>
          <c:yMode val="edge"/>
          <c:x val="0.33200773015431539"/>
          <c:y val="2.2246899444474812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ATR Actual</c:v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bg1"/>
              </a:solidFill>
              <a:ln w="9525">
                <a:solidFill>
                  <a:srgbClr val="0070C0"/>
                </a:solidFill>
              </a:ln>
              <a:effectLst/>
            </c:spPr>
          </c:marker>
          <c:dLbls>
            <c:dLbl>
              <c:idx val="0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13BE-4663-AFE0-397FE5E47951}"/>
                </c:ext>
              </c:extLst>
            </c:dLbl>
            <c:dLbl>
              <c:idx val="1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13BE-4663-AFE0-397FE5E47951}"/>
                </c:ext>
              </c:extLst>
            </c:dLbl>
            <c:dLbl>
              <c:idx val="2"/>
              <c:layout>
                <c:manualLayout>
                  <c:x val="-3.5074216514653089E-2"/>
                  <c:y val="4.636463280964559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13BE-4663-AFE0-397FE5E47951}"/>
                </c:ext>
              </c:extLst>
            </c:dLbl>
            <c:dLbl>
              <c:idx val="3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13BE-4663-AFE0-397FE5E47951}"/>
                </c:ext>
              </c:extLst>
            </c:dLbl>
            <c:dLbl>
              <c:idx val="4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13BE-4663-AFE0-397FE5E47951}"/>
                </c:ext>
              </c:extLst>
            </c:dLbl>
            <c:dLbl>
              <c:idx val="5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13BE-4663-AFE0-397FE5E47951}"/>
                </c:ext>
              </c:extLst>
            </c:dLbl>
            <c:dLbl>
              <c:idx val="6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13BE-4663-AFE0-397FE5E47951}"/>
                </c:ext>
              </c:extLst>
            </c:dLbl>
            <c:dLbl>
              <c:idx val="7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13BE-4663-AFE0-397FE5E47951}"/>
                </c:ext>
              </c:extLst>
            </c:dLbl>
            <c:dLbl>
              <c:idx val="8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13BE-4663-AFE0-397FE5E47951}"/>
                </c:ext>
              </c:extLst>
            </c:dLbl>
            <c:dLbl>
              <c:idx val="10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13BE-4663-AFE0-397FE5E47951}"/>
                </c:ext>
              </c:extLst>
            </c:dLbl>
            <c:dLbl>
              <c:idx val="11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13BE-4663-AFE0-397FE5E47951}"/>
                </c:ext>
              </c:extLst>
            </c:dLbl>
            <c:dLbl>
              <c:idx val="12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13BE-4663-AFE0-397FE5E4795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rgbClr val="0070C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'Peaje 3.5'!$B$10:$B$22</c:f>
              <c:numCache>
                <c:formatCode>#,##0</c:formatCode>
                <c:ptCount val="13"/>
                <c:pt idx="0">
                  <c:v>8250</c:v>
                </c:pt>
                <c:pt idx="1">
                  <c:v>8500</c:v>
                </c:pt>
                <c:pt idx="2">
                  <c:v>9000</c:v>
                </c:pt>
                <c:pt idx="3">
                  <c:v>9500</c:v>
                </c:pt>
                <c:pt idx="4">
                  <c:v>10000</c:v>
                </c:pt>
                <c:pt idx="5">
                  <c:v>12500</c:v>
                </c:pt>
                <c:pt idx="6">
                  <c:v>15000</c:v>
                </c:pt>
                <c:pt idx="7">
                  <c:v>17500</c:v>
                </c:pt>
                <c:pt idx="8">
                  <c:v>20000</c:v>
                </c:pt>
                <c:pt idx="9">
                  <c:v>22500</c:v>
                </c:pt>
                <c:pt idx="10">
                  <c:v>25000</c:v>
                </c:pt>
                <c:pt idx="11">
                  <c:v>27500</c:v>
                </c:pt>
                <c:pt idx="12">
                  <c:v>30000</c:v>
                </c:pt>
              </c:numCache>
            </c:numRef>
          </c:cat>
          <c:val>
            <c:numRef>
              <c:f>'Peaje 3.5'!$S$10:$S$22</c:f>
              <c:numCache>
                <c:formatCode>0.00</c:formatCode>
                <c:ptCount val="13"/>
                <c:pt idx="0">
                  <c:v>5.5961563255439168</c:v>
                </c:pt>
                <c:pt idx="1">
                  <c:v>5.5961563255439168</c:v>
                </c:pt>
                <c:pt idx="2">
                  <c:v>5.596156325543916</c:v>
                </c:pt>
                <c:pt idx="3">
                  <c:v>5.596156325543916</c:v>
                </c:pt>
                <c:pt idx="4">
                  <c:v>5.596156325543916</c:v>
                </c:pt>
                <c:pt idx="5">
                  <c:v>5.596156325543916</c:v>
                </c:pt>
                <c:pt idx="6">
                  <c:v>5.596156325543916</c:v>
                </c:pt>
                <c:pt idx="7">
                  <c:v>5.596156325543916</c:v>
                </c:pt>
                <c:pt idx="8">
                  <c:v>5.596156325543916</c:v>
                </c:pt>
                <c:pt idx="9">
                  <c:v>5.596156325543916</c:v>
                </c:pt>
                <c:pt idx="10">
                  <c:v>5.596156325543916</c:v>
                </c:pt>
                <c:pt idx="11">
                  <c:v>5.596156325543916</c:v>
                </c:pt>
                <c:pt idx="12">
                  <c:v>5.596156325543916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13BE-4663-AFE0-397FE5E47951}"/>
            </c:ext>
          </c:extLst>
        </c:ser>
        <c:ser>
          <c:idx val="1"/>
          <c:order val="1"/>
          <c:tx>
            <c:v>ATR Circular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bg1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dLbl>
              <c:idx val="0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3BE-4663-AFE0-397FE5E47951}"/>
                </c:ext>
              </c:extLst>
            </c:dLbl>
            <c:dLbl>
              <c:idx val="1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3BE-4663-AFE0-397FE5E47951}"/>
                </c:ext>
              </c:extLst>
            </c:dLbl>
            <c:dLbl>
              <c:idx val="2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3BE-4663-AFE0-397FE5E47951}"/>
                </c:ext>
              </c:extLst>
            </c:dLbl>
            <c:dLbl>
              <c:idx val="4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3BE-4663-AFE0-397FE5E47951}"/>
                </c:ext>
              </c:extLst>
            </c:dLbl>
            <c:dLbl>
              <c:idx val="5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3BE-4663-AFE0-397FE5E47951}"/>
                </c:ext>
              </c:extLst>
            </c:dLbl>
            <c:dLbl>
              <c:idx val="6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3BE-4663-AFE0-397FE5E47951}"/>
                </c:ext>
              </c:extLst>
            </c:dLbl>
            <c:dLbl>
              <c:idx val="7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3BE-4663-AFE0-397FE5E47951}"/>
                </c:ext>
              </c:extLst>
            </c:dLbl>
            <c:dLbl>
              <c:idx val="8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3BE-4663-AFE0-397FE5E47951}"/>
                </c:ext>
              </c:extLst>
            </c:dLbl>
            <c:dLbl>
              <c:idx val="9"/>
              <c:layout>
                <c:manualLayout>
                  <c:x val="-3.5074216514653235E-2"/>
                  <c:y val="5.00182681768358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3BE-4663-AFE0-397FE5E47951}"/>
                </c:ext>
              </c:extLst>
            </c:dLbl>
            <c:dLbl>
              <c:idx val="10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13BE-4663-AFE0-397FE5E47951}"/>
                </c:ext>
              </c:extLst>
            </c:dLbl>
            <c:dLbl>
              <c:idx val="11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3BE-4663-AFE0-397FE5E47951}"/>
                </c:ext>
              </c:extLst>
            </c:dLbl>
            <c:dLbl>
              <c:idx val="12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13BE-4663-AFE0-397FE5E4795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accent2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'Peaje 3.5'!$B$10:$B$22</c:f>
              <c:numCache>
                <c:formatCode>#,##0</c:formatCode>
                <c:ptCount val="13"/>
                <c:pt idx="0">
                  <c:v>8250</c:v>
                </c:pt>
                <c:pt idx="1">
                  <c:v>8500</c:v>
                </c:pt>
                <c:pt idx="2">
                  <c:v>9000</c:v>
                </c:pt>
                <c:pt idx="3">
                  <c:v>9500</c:v>
                </c:pt>
                <c:pt idx="4">
                  <c:v>10000</c:v>
                </c:pt>
                <c:pt idx="5">
                  <c:v>12500</c:v>
                </c:pt>
                <c:pt idx="6">
                  <c:v>15000</c:v>
                </c:pt>
                <c:pt idx="7">
                  <c:v>17500</c:v>
                </c:pt>
                <c:pt idx="8">
                  <c:v>20000</c:v>
                </c:pt>
                <c:pt idx="9">
                  <c:v>22500</c:v>
                </c:pt>
                <c:pt idx="10">
                  <c:v>25000</c:v>
                </c:pt>
                <c:pt idx="11">
                  <c:v>27500</c:v>
                </c:pt>
                <c:pt idx="12">
                  <c:v>30000</c:v>
                </c:pt>
              </c:numCache>
            </c:numRef>
          </c:cat>
          <c:val>
            <c:numRef>
              <c:f>'Peaje 3.5'!$AU$10:$AU$22</c:f>
              <c:numCache>
                <c:formatCode>0.00</c:formatCode>
                <c:ptCount val="13"/>
                <c:pt idx="0">
                  <c:v>7.3222324375503627</c:v>
                </c:pt>
                <c:pt idx="1">
                  <c:v>7.3222324375503636</c:v>
                </c:pt>
                <c:pt idx="2">
                  <c:v>7.3222324375503618</c:v>
                </c:pt>
                <c:pt idx="3">
                  <c:v>7.3222324375503627</c:v>
                </c:pt>
                <c:pt idx="4">
                  <c:v>7.3222324375503627</c:v>
                </c:pt>
                <c:pt idx="5">
                  <c:v>7.3222324375503636</c:v>
                </c:pt>
                <c:pt idx="6">
                  <c:v>7.3222324375503636</c:v>
                </c:pt>
                <c:pt idx="7">
                  <c:v>5.2161051208702665</c:v>
                </c:pt>
                <c:pt idx="8">
                  <c:v>5.2161051208702656</c:v>
                </c:pt>
                <c:pt idx="9">
                  <c:v>5.2161051208702656</c:v>
                </c:pt>
                <c:pt idx="10">
                  <c:v>5.2161051208702665</c:v>
                </c:pt>
                <c:pt idx="11">
                  <c:v>5.2161051208702656</c:v>
                </c:pt>
                <c:pt idx="12">
                  <c:v>5.2161051208702656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3BE-4663-AFE0-397FE5E479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790976"/>
        <c:axId val="183801344"/>
      </c:lineChart>
      <c:catAx>
        <c:axId val="1837909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rgbClr val="0070C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es-ES" sz="1400">
                    <a:solidFill>
                      <a:srgbClr val="0070C0"/>
                    </a:solidFill>
                  </a:rPr>
                  <a:t>Consumo MWh/año</a:t>
                </a:r>
              </a:p>
            </c:rich>
          </c:tx>
          <c:layout>
            <c:manualLayout>
              <c:xMode val="edge"/>
              <c:yMode val="edge"/>
              <c:x val="0.38433481959333399"/>
              <c:y val="0.90283633900601135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" sourceLinked="1"/>
        <c:majorTickMark val="cross"/>
        <c:minorTickMark val="none"/>
        <c:tickLblPos val="low"/>
        <c:spPr>
          <a:noFill/>
          <a:ln w="12700" cap="flat" cmpd="sng" algn="ctr">
            <a:solidFill>
              <a:srgbClr val="002060"/>
            </a:solidFill>
            <a:round/>
          </a:ln>
          <a:effectLst/>
        </c:spPr>
        <c:txPr>
          <a:bodyPr rot="-4020000" spcFirstLastPara="1" vertOverflow="ellipsis" wrap="square" anchor="ctr" anchorCtr="1"/>
          <a:lstStyle/>
          <a:p>
            <a:pPr>
              <a:defRPr sz="1050" b="0" i="0" u="none" strike="noStrike" kern="1200" baseline="0">
                <a:solidFill>
                  <a:srgbClr val="0070C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s-ES"/>
          </a:p>
        </c:txPr>
        <c:crossAx val="183801344"/>
        <c:crossesAt val="0"/>
        <c:auto val="1"/>
        <c:lblAlgn val="ctr"/>
        <c:lblOffset val="100"/>
        <c:noMultiLvlLbl val="0"/>
      </c:catAx>
      <c:valAx>
        <c:axId val="1838013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lgDash"/>
              <a:round/>
            </a:ln>
            <a:effectLst/>
          </c:spPr>
        </c:majorGridlines>
        <c:numFmt formatCode="#,##0.0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s-ES"/>
          </a:p>
        </c:txPr>
        <c:crossAx val="183790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Arial Narrow" panose="020B060602020203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75000"/>
                    <a:lumOff val="25000"/>
                  </a:schemeClr>
                </a:solidFill>
                <a:latin typeface="Arial Rounded MT Bold" panose="020F0704030504030204" pitchFamily="34" charset="0"/>
                <a:ea typeface="+mn-ea"/>
                <a:cs typeface="+mn-cs"/>
              </a:defRPr>
            </a:pPr>
            <a:r>
              <a:rPr lang="el-GR" sz="1400">
                <a:solidFill>
                  <a:schemeClr val="tx1">
                    <a:lumMod val="75000"/>
                    <a:lumOff val="25000"/>
                  </a:schemeClr>
                </a:solidFill>
              </a:rPr>
              <a:t>Δ</a:t>
            </a:r>
            <a:r>
              <a:rPr lang="en-US" sz="1400">
                <a:solidFill>
                  <a:schemeClr val="tx1">
                    <a:lumMod val="75000"/>
                    <a:lumOff val="25000"/>
                  </a:schemeClr>
                </a:solidFill>
                <a:latin typeface="Arial Rounded MT Bold" panose="020F0704030504030204" pitchFamily="34" charset="0"/>
              </a:rPr>
              <a:t> €/MWh ATR Peaje 3.5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7.5323305903106944E-2"/>
          <c:y val="0.13759578328632108"/>
          <c:w val="0.9059257637648539"/>
          <c:h val="0.6560806952310848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'Peaje 3.5'!$BB$9</c:f>
              <c:strCache>
                <c:ptCount val="1"/>
                <c:pt idx="0">
                  <c:v>D €/MWh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97B0-4A80-9EFF-924087D61493}"/>
              </c:ext>
            </c:extLst>
          </c:dPt>
          <c:dPt>
            <c:idx val="1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97B0-4A80-9EFF-924087D61493}"/>
              </c:ext>
            </c:extLst>
          </c:dPt>
          <c:dPt>
            <c:idx val="2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97B0-4A80-9EFF-924087D61493}"/>
              </c:ext>
            </c:extLst>
          </c:dPt>
          <c:dPt>
            <c:idx val="3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97B0-4A80-9EFF-924087D61493}"/>
              </c:ext>
            </c:extLst>
          </c:dPt>
          <c:dPt>
            <c:idx val="4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97B0-4A80-9EFF-924087D61493}"/>
              </c:ext>
            </c:extLst>
          </c:dPt>
          <c:dPt>
            <c:idx val="5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97B0-4A80-9EFF-924087D61493}"/>
              </c:ext>
            </c:extLst>
          </c:dPt>
          <c:dPt>
            <c:idx val="6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97B0-4A80-9EFF-924087D61493}"/>
              </c:ext>
            </c:extLst>
          </c:dPt>
          <c:dLbls>
            <c:dLbl>
              <c:idx val="7"/>
              <c:numFmt formatCode="#,##0.00" sourceLinked="0"/>
              <c:spPr/>
              <c:txPr>
                <a:bodyPr/>
                <a:lstStyle/>
                <a:p>
                  <a:pPr>
                    <a:defRPr sz="1100">
                      <a:solidFill>
                        <a:srgbClr val="00B050"/>
                      </a:solidFill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numFmt formatCode="#,##0.00" sourceLinked="0"/>
              <c:spPr/>
              <c:txPr>
                <a:bodyPr/>
                <a:lstStyle/>
                <a:p>
                  <a:pPr>
                    <a:defRPr sz="1100">
                      <a:solidFill>
                        <a:srgbClr val="00B050"/>
                      </a:solidFill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numFmt formatCode="#,##0.00" sourceLinked="0"/>
              <c:spPr/>
              <c:txPr>
                <a:bodyPr/>
                <a:lstStyle/>
                <a:p>
                  <a:pPr>
                    <a:defRPr sz="1100">
                      <a:solidFill>
                        <a:srgbClr val="00B050"/>
                      </a:solidFill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numFmt formatCode="#,##0.00" sourceLinked="0"/>
              <c:spPr/>
              <c:txPr>
                <a:bodyPr/>
                <a:lstStyle/>
                <a:p>
                  <a:pPr>
                    <a:defRPr sz="1100">
                      <a:solidFill>
                        <a:srgbClr val="00B050"/>
                      </a:solidFill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numFmt formatCode="#,##0.00" sourceLinked="0"/>
              <c:spPr/>
              <c:txPr>
                <a:bodyPr/>
                <a:lstStyle/>
                <a:p>
                  <a:pPr>
                    <a:defRPr sz="1100">
                      <a:solidFill>
                        <a:srgbClr val="00B050"/>
                      </a:solidFill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2"/>
              <c:numFmt formatCode="#,##0.00" sourceLinked="0"/>
              <c:spPr/>
              <c:txPr>
                <a:bodyPr/>
                <a:lstStyle/>
                <a:p>
                  <a:pPr>
                    <a:defRPr sz="1100">
                      <a:solidFill>
                        <a:srgbClr val="00B050"/>
                      </a:solidFill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solidFill>
                      <a:srgbClr val="C00000"/>
                    </a:solidFill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'Peaje 3.5'!$B$10:$B$22</c:f>
              <c:numCache>
                <c:formatCode>#,##0</c:formatCode>
                <c:ptCount val="13"/>
                <c:pt idx="0">
                  <c:v>8250</c:v>
                </c:pt>
                <c:pt idx="1">
                  <c:v>8500</c:v>
                </c:pt>
                <c:pt idx="2">
                  <c:v>9000</c:v>
                </c:pt>
                <c:pt idx="3">
                  <c:v>9500</c:v>
                </c:pt>
                <c:pt idx="4">
                  <c:v>10000</c:v>
                </c:pt>
                <c:pt idx="5">
                  <c:v>12500</c:v>
                </c:pt>
                <c:pt idx="6">
                  <c:v>15000</c:v>
                </c:pt>
                <c:pt idx="7">
                  <c:v>17500</c:v>
                </c:pt>
                <c:pt idx="8">
                  <c:v>20000</c:v>
                </c:pt>
                <c:pt idx="9">
                  <c:v>22500</c:v>
                </c:pt>
                <c:pt idx="10">
                  <c:v>25000</c:v>
                </c:pt>
                <c:pt idx="11">
                  <c:v>27500</c:v>
                </c:pt>
                <c:pt idx="12">
                  <c:v>30000</c:v>
                </c:pt>
              </c:numCache>
            </c:numRef>
          </c:cat>
          <c:val>
            <c:numRef>
              <c:f>'Peaje 3.5'!$BB$10:$BB$22</c:f>
              <c:numCache>
                <c:formatCode>#,##0.00</c:formatCode>
                <c:ptCount val="13"/>
                <c:pt idx="0">
                  <c:v>1.7260761120064458</c:v>
                </c:pt>
                <c:pt idx="1">
                  <c:v>1.7260761120064467</c:v>
                </c:pt>
                <c:pt idx="2">
                  <c:v>1.7260761120064458</c:v>
                </c:pt>
                <c:pt idx="3">
                  <c:v>1.7260761120064467</c:v>
                </c:pt>
                <c:pt idx="4">
                  <c:v>1.7260761120064467</c:v>
                </c:pt>
                <c:pt idx="5">
                  <c:v>1.7260761120064476</c:v>
                </c:pt>
                <c:pt idx="6">
                  <c:v>1.7260761120064476</c:v>
                </c:pt>
                <c:pt idx="7">
                  <c:v>-0.3800512046736495</c:v>
                </c:pt>
                <c:pt idx="8">
                  <c:v>-0.38005120467365039</c:v>
                </c:pt>
                <c:pt idx="9">
                  <c:v>-0.38005120467365039</c:v>
                </c:pt>
                <c:pt idx="10">
                  <c:v>-0.3800512046736495</c:v>
                </c:pt>
                <c:pt idx="11">
                  <c:v>-0.38005120467365039</c:v>
                </c:pt>
                <c:pt idx="12">
                  <c:v>-0.38005120467365039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4-97B0-4A80-9EFF-924087D614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8"/>
        <c:overlap val="-100"/>
        <c:axId val="183560832"/>
        <c:axId val="183440128"/>
      </c:barChart>
      <c:catAx>
        <c:axId val="1835608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rgbClr val="0070C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es-ES" sz="1400">
                    <a:solidFill>
                      <a:srgbClr val="0070C0"/>
                    </a:solidFill>
                  </a:rPr>
                  <a:t>Consumo</a:t>
                </a:r>
                <a:r>
                  <a:rPr lang="es-ES" sz="1400" baseline="0">
                    <a:solidFill>
                      <a:srgbClr val="0070C0"/>
                    </a:solidFill>
                  </a:rPr>
                  <a:t> MWh/año</a:t>
                </a:r>
                <a:endParaRPr lang="es-ES" sz="1400">
                  <a:solidFill>
                    <a:srgbClr val="0070C0"/>
                  </a:solidFill>
                </a:endParaRPr>
              </a:p>
            </c:rich>
          </c:tx>
          <c:layout>
            <c:manualLayout>
              <c:xMode val="edge"/>
              <c:yMode val="edge"/>
              <c:x val="0.43311625440759305"/>
              <c:y val="0.91666652068936316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" sourceLinked="1"/>
        <c:majorTickMark val="cross"/>
        <c:minorTickMark val="none"/>
        <c:tickLblPos val="low"/>
        <c:spPr>
          <a:noFill/>
          <a:ln w="15875" cap="flat" cmpd="sng" algn="ctr">
            <a:solidFill>
              <a:srgbClr val="002060"/>
            </a:solidFill>
            <a:round/>
          </a:ln>
          <a:effectLst/>
        </c:spPr>
        <c:txPr>
          <a:bodyPr rot="-414000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rgbClr val="0070C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s-ES"/>
          </a:p>
        </c:txPr>
        <c:crossAx val="183440128"/>
        <c:crossesAt val="0"/>
        <c:auto val="1"/>
        <c:lblAlgn val="ctr"/>
        <c:lblOffset val="100"/>
        <c:noMultiLvlLbl val="0"/>
      </c:catAx>
      <c:valAx>
        <c:axId val="18344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lgDash"/>
              <a:round/>
            </a:ln>
            <a:effectLst/>
          </c:spPr>
        </c:majorGridlines>
        <c:numFmt formatCode="#,##0.00\ &quot;€&quot;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75000"/>
                    <a:lumOff val="2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s-ES"/>
          </a:p>
        </c:txPr>
        <c:crossAx val="1835608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Arial Narrow" panose="020B060602020203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Rounded MT Bold" panose="020F0704030504030204" pitchFamily="34" charset="0"/>
                <a:ea typeface="+mn-ea"/>
                <a:cs typeface="+mn-cs"/>
              </a:defRPr>
            </a:pPr>
            <a:r>
              <a:rPr lang="el-GR" sz="1400">
                <a:solidFill>
                  <a:schemeClr val="tx1">
                    <a:lumMod val="65000"/>
                    <a:lumOff val="35000"/>
                  </a:schemeClr>
                </a:solidFill>
              </a:rPr>
              <a:t>Δ</a:t>
            </a:r>
            <a:r>
              <a:rPr lang="en-US" sz="1400">
                <a:solidFill>
                  <a:schemeClr val="tx1">
                    <a:lumMod val="65000"/>
                    <a:lumOff val="35000"/>
                  </a:schemeClr>
                </a:solidFill>
                <a:latin typeface="Arial Rounded MT Bold" panose="020F0704030504030204" pitchFamily="34" charset="0"/>
              </a:rPr>
              <a:t> €/año ATR Peaje 3.5 (35% Consumo</a:t>
            </a:r>
            <a:r>
              <a:rPr lang="en-US" sz="14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Rounded MT Bold" panose="020F0704030504030204" pitchFamily="34" charset="0"/>
              </a:rPr>
              <a:t> nocturno)</a:t>
            </a:r>
            <a:endParaRPr lang="en-US" sz="1400">
              <a:solidFill>
                <a:schemeClr val="tx1">
                  <a:lumMod val="65000"/>
                  <a:lumOff val="35000"/>
                </a:schemeClr>
              </a:solidFill>
              <a:latin typeface="Arial Rounded MT Bold" panose="020F0704030504030204" pitchFamily="34" charset="0"/>
            </a:endParaRP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'Peaje 3.5 Nocturno'!$AZ$9</c:f>
              <c:strCache>
                <c:ptCount val="1"/>
                <c:pt idx="0">
                  <c:v>D €/año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0-5B3B-4080-8C40-DA7067E12B0F}"/>
              </c:ext>
            </c:extLst>
          </c:dPt>
          <c:dPt>
            <c:idx val="1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5B3B-4080-8C40-DA7067E12B0F}"/>
              </c:ext>
            </c:extLst>
          </c:dPt>
          <c:dPt>
            <c:idx val="2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2-5B3B-4080-8C40-DA7067E12B0F}"/>
              </c:ext>
            </c:extLst>
          </c:dPt>
          <c:dPt>
            <c:idx val="3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5B3B-4080-8C40-DA7067E12B0F}"/>
              </c:ext>
            </c:extLst>
          </c:dPt>
          <c:dPt>
            <c:idx val="4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6-5B3B-4080-8C40-DA7067E12B0F}"/>
              </c:ext>
            </c:extLst>
          </c:dPt>
          <c:dPt>
            <c:idx val="5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5-5B3B-4080-8C40-DA7067E12B0F}"/>
              </c:ext>
            </c:extLst>
          </c:dPt>
          <c:dPt>
            <c:idx val="6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4-5B3B-4080-8C40-DA7067E12B0F}"/>
              </c:ext>
            </c:extLst>
          </c:dPt>
          <c:dLbls>
            <c:dLbl>
              <c:idx val="7"/>
              <c:numFmt formatCode="#,##0\ &quot;€&quot;" sourceLinked="0"/>
              <c:spPr/>
              <c:txPr>
                <a:bodyPr/>
                <a:lstStyle/>
                <a:p>
                  <a:pPr>
                    <a:defRPr sz="1400">
                      <a:solidFill>
                        <a:srgbClr val="C00000"/>
                      </a:solidFill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numFmt formatCode="#,##0\ &quot;€&quot;" sourceLinked="0"/>
              <c:spPr/>
              <c:txPr>
                <a:bodyPr/>
                <a:lstStyle/>
                <a:p>
                  <a:pPr>
                    <a:defRPr sz="1400">
                      <a:solidFill>
                        <a:srgbClr val="C00000"/>
                      </a:solidFill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numFmt formatCode="#,##0\ &quot;€&quot;" sourceLinked="0"/>
              <c:spPr/>
              <c:txPr>
                <a:bodyPr/>
                <a:lstStyle/>
                <a:p>
                  <a:pPr>
                    <a:defRPr sz="1400">
                      <a:solidFill>
                        <a:srgbClr val="C00000"/>
                      </a:solidFill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numFmt formatCode="#,##0\ &quot;€&quot;" sourceLinked="0"/>
              <c:spPr/>
              <c:txPr>
                <a:bodyPr/>
                <a:lstStyle/>
                <a:p>
                  <a:pPr>
                    <a:defRPr sz="1400">
                      <a:solidFill>
                        <a:srgbClr val="C00000"/>
                      </a:solidFill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numFmt formatCode="#,##0\ &quot;€&quot;" sourceLinked="0"/>
              <c:spPr/>
              <c:txPr>
                <a:bodyPr/>
                <a:lstStyle/>
                <a:p>
                  <a:pPr>
                    <a:defRPr sz="1400">
                      <a:solidFill>
                        <a:srgbClr val="C00000"/>
                      </a:solidFill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2"/>
              <c:numFmt formatCode="#,##0\ &quot;€&quot;" sourceLinked="0"/>
              <c:spPr/>
              <c:txPr>
                <a:bodyPr/>
                <a:lstStyle/>
                <a:p>
                  <a:pPr>
                    <a:defRPr sz="1400">
                      <a:solidFill>
                        <a:srgbClr val="C00000"/>
                      </a:solidFill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\ &quot;€&quot;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>
                    <a:solidFill>
                      <a:srgbClr val="C00000"/>
                    </a:solidFill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'Peaje 3.5 Nocturno'!$B$10:$B$22</c:f>
              <c:numCache>
                <c:formatCode>#,##0</c:formatCode>
                <c:ptCount val="13"/>
                <c:pt idx="0">
                  <c:v>8250</c:v>
                </c:pt>
                <c:pt idx="1">
                  <c:v>8500</c:v>
                </c:pt>
                <c:pt idx="2">
                  <c:v>9000</c:v>
                </c:pt>
                <c:pt idx="3">
                  <c:v>9500</c:v>
                </c:pt>
                <c:pt idx="4">
                  <c:v>10000</c:v>
                </c:pt>
                <c:pt idx="5">
                  <c:v>12500</c:v>
                </c:pt>
                <c:pt idx="6">
                  <c:v>15000</c:v>
                </c:pt>
                <c:pt idx="7">
                  <c:v>17500</c:v>
                </c:pt>
                <c:pt idx="8">
                  <c:v>20000</c:v>
                </c:pt>
                <c:pt idx="9">
                  <c:v>22500</c:v>
                </c:pt>
                <c:pt idx="10">
                  <c:v>25000</c:v>
                </c:pt>
                <c:pt idx="11">
                  <c:v>27500</c:v>
                </c:pt>
                <c:pt idx="12">
                  <c:v>30000</c:v>
                </c:pt>
              </c:numCache>
            </c:numRef>
          </c:cat>
          <c:val>
            <c:numRef>
              <c:f>'Peaje 3.5 Nocturno'!$AZ$10:$AZ$22</c:f>
              <c:numCache>
                <c:formatCode>#,##0.00\ "€"</c:formatCode>
                <c:ptCount val="13"/>
                <c:pt idx="0">
                  <c:v>17549.216884568894</c:v>
                </c:pt>
                <c:pt idx="1">
                  <c:v>18081.011335616437</c:v>
                </c:pt>
                <c:pt idx="2">
                  <c:v>19144.600237711515</c:v>
                </c:pt>
                <c:pt idx="3">
                  <c:v>20208.189139806615</c:v>
                </c:pt>
                <c:pt idx="4">
                  <c:v>21271.778041901693</c:v>
                </c:pt>
                <c:pt idx="5">
                  <c:v>26589.722552377127</c:v>
                </c:pt>
                <c:pt idx="6">
                  <c:v>31907.667062852561</c:v>
                </c:pt>
                <c:pt idx="7">
                  <c:v>368.38353142626875</c:v>
                </c:pt>
                <c:pt idx="8">
                  <c:v>421.00975020145415</c:v>
                </c:pt>
                <c:pt idx="9">
                  <c:v>473.63596897662501</c:v>
                </c:pt>
                <c:pt idx="10">
                  <c:v>526.26218775182497</c:v>
                </c:pt>
                <c:pt idx="11">
                  <c:v>578.88840652696672</c:v>
                </c:pt>
                <c:pt idx="12">
                  <c:v>631.51462530216668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CC1-45F2-BF34-F898F36075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8"/>
        <c:overlap val="-100"/>
        <c:axId val="183885184"/>
        <c:axId val="179701248"/>
      </c:barChart>
      <c:catAx>
        <c:axId val="1838851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rgbClr val="0070C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es-ES" sz="1400">
                    <a:solidFill>
                      <a:srgbClr val="0070C0"/>
                    </a:solidFill>
                  </a:rPr>
                  <a:t>Consumo</a:t>
                </a:r>
                <a:r>
                  <a:rPr lang="es-ES" sz="1400" baseline="0">
                    <a:solidFill>
                      <a:srgbClr val="0070C0"/>
                    </a:solidFill>
                  </a:rPr>
                  <a:t> MWh/año</a:t>
                </a:r>
                <a:endParaRPr lang="es-ES" sz="1400">
                  <a:solidFill>
                    <a:srgbClr val="0070C0"/>
                  </a:solidFill>
                </a:endParaRPr>
              </a:p>
            </c:rich>
          </c:tx>
          <c:layout>
            <c:manualLayout>
              <c:xMode val="edge"/>
              <c:yMode val="edge"/>
              <c:x val="0.43311625440759305"/>
              <c:y val="0.91666652068936316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" sourceLinked="1"/>
        <c:majorTickMark val="cross"/>
        <c:minorTickMark val="none"/>
        <c:tickLblPos val="low"/>
        <c:spPr>
          <a:noFill/>
          <a:ln w="15875" cap="flat" cmpd="sng" algn="ctr">
            <a:solidFill>
              <a:srgbClr val="002060"/>
            </a:solidFill>
            <a:round/>
          </a:ln>
          <a:effectLst/>
        </c:spPr>
        <c:txPr>
          <a:bodyPr rot="-4140000" spcFirstLastPara="1" vertOverflow="ellipsis" wrap="square" anchor="ctr" anchorCtr="1"/>
          <a:lstStyle/>
          <a:p>
            <a:pPr>
              <a:defRPr sz="1400" b="0" i="0" u="none" strike="noStrike" kern="1200" baseline="0">
                <a:solidFill>
                  <a:srgbClr val="0070C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s-ES"/>
          </a:p>
        </c:txPr>
        <c:crossAx val="179701248"/>
        <c:crossesAt val="0"/>
        <c:auto val="1"/>
        <c:lblAlgn val="ctr"/>
        <c:lblOffset val="100"/>
        <c:noMultiLvlLbl val="0"/>
      </c:catAx>
      <c:valAx>
        <c:axId val="1797012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lgDash"/>
              <a:round/>
            </a:ln>
            <a:effectLst/>
          </c:spPr>
        </c:majorGridlines>
        <c:numFmt formatCode="#,##0\ &quot;€&quot;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75000"/>
                    <a:lumOff val="2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s-ES"/>
          </a:p>
        </c:txPr>
        <c:crossAx val="1838851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Arial Narrow" panose="020B060602020203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Rounded MT Bold" panose="020F0704030504030204" pitchFamily="34" charset="0"/>
                <a:ea typeface="+mn-ea"/>
                <a:cs typeface="+mn-cs"/>
              </a:defRPr>
            </a:pPr>
            <a:r>
              <a:rPr lang="en-US">
                <a:solidFill>
                  <a:schemeClr val="tx1">
                    <a:lumMod val="65000"/>
                    <a:lumOff val="35000"/>
                  </a:schemeClr>
                </a:solidFill>
                <a:latin typeface="Arial Rounded MT Bold" panose="020F0704030504030204" pitchFamily="34" charset="0"/>
                <a:sym typeface="Symbol" panose="05050102010706020507" pitchFamily="18" charset="2"/>
              </a:rPr>
              <a:t> </a:t>
            </a:r>
            <a:r>
              <a:rPr lang="en-US">
                <a:solidFill>
                  <a:schemeClr val="tx1">
                    <a:lumMod val="65000"/>
                    <a:lumOff val="35000"/>
                  </a:schemeClr>
                </a:solidFill>
                <a:latin typeface="Arial Rounded MT Bold" panose="020F0704030504030204" pitchFamily="34" charset="0"/>
              </a:rPr>
              <a:t>€</a:t>
            </a:r>
            <a:r>
              <a:rPr lang="en-US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Rounded MT Bold" panose="020F0704030504030204" pitchFamily="34" charset="0"/>
              </a:rPr>
              <a:t> ATR </a:t>
            </a:r>
            <a:r>
              <a:rPr lang="en-US">
                <a:solidFill>
                  <a:schemeClr val="tx1">
                    <a:lumMod val="65000"/>
                    <a:lumOff val="35000"/>
                  </a:schemeClr>
                </a:solidFill>
                <a:latin typeface="Arial Rounded MT Bold" panose="020F0704030504030204" pitchFamily="34" charset="0"/>
              </a:rPr>
              <a:t>Peaje 3.5 (35%</a:t>
            </a:r>
            <a:r>
              <a:rPr lang="en-US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Rounded MT Bold" panose="020F0704030504030204" pitchFamily="34" charset="0"/>
              </a:rPr>
              <a:t> </a:t>
            </a:r>
            <a:r>
              <a:rPr lang="en-US">
                <a:solidFill>
                  <a:schemeClr val="tx1">
                    <a:lumMod val="65000"/>
                    <a:lumOff val="35000"/>
                  </a:schemeClr>
                </a:solidFill>
                <a:latin typeface="Arial Rounded MT Bold" panose="020F0704030504030204" pitchFamily="34" charset="0"/>
              </a:rPr>
              <a:t>Consum</a:t>
            </a:r>
            <a:r>
              <a:rPr lang="en-US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Rounded MT Bold" panose="020F0704030504030204" pitchFamily="34" charset="0"/>
              </a:rPr>
              <a:t>o nocturno)</a:t>
            </a:r>
            <a:endParaRPr lang="en-US">
              <a:solidFill>
                <a:schemeClr val="tx1">
                  <a:lumMod val="65000"/>
                  <a:lumOff val="35000"/>
                </a:schemeClr>
              </a:solidFill>
              <a:latin typeface="Arial Rounded MT Bold" panose="020F0704030504030204" pitchFamily="34" charset="0"/>
            </a:endParaRPr>
          </a:p>
        </c:rich>
      </c:tx>
      <c:layout>
        <c:manualLayout>
          <c:xMode val="edge"/>
          <c:yMode val="edge"/>
          <c:x val="0.25212611135472474"/>
          <c:y val="2.224694104560623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'Peaje 3.5 Nocturno'!$AZ$9</c:f>
              <c:strCache>
                <c:ptCount val="1"/>
                <c:pt idx="0">
                  <c:v>D €/año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bg1"/>
              </a:solidFill>
              <a:ln w="9525">
                <a:solidFill>
                  <a:srgbClr val="C00000"/>
                </a:solidFill>
              </a:ln>
              <a:effectLst/>
            </c:spPr>
          </c:marker>
          <c:dLbls>
            <c:dLbl>
              <c:idx val="0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B62-4A5E-B89F-FE10A5B1960C}"/>
                </c:ext>
              </c:extLst>
            </c:dLbl>
            <c:dLbl>
              <c:idx val="1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B62-4A5E-B89F-FE10A5B1960C}"/>
                </c:ext>
              </c:extLst>
            </c:dLbl>
            <c:dLbl>
              <c:idx val="2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B62-4A5E-B89F-FE10A5B1960C}"/>
                </c:ext>
              </c:extLst>
            </c:dLbl>
            <c:dLbl>
              <c:idx val="4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B62-4A5E-B89F-FE10A5B1960C}"/>
                </c:ext>
              </c:extLst>
            </c:dLbl>
            <c:dLbl>
              <c:idx val="5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AB62-4A5E-B89F-FE10A5B1960C}"/>
                </c:ext>
              </c:extLst>
            </c:dLbl>
            <c:dLbl>
              <c:idx val="6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B62-4A5E-B89F-FE10A5B1960C}"/>
                </c:ext>
              </c:extLst>
            </c:dLbl>
            <c:dLbl>
              <c:idx val="7"/>
              <c:layout>
                <c:manualLayout>
                  <c:x val="0.10892373795163923"/>
                  <c:y val="-4.1519954492380468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1200">
                      <a:solidFill>
                        <a:srgbClr val="C00000"/>
                      </a:solidFill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A66-4C87-82C1-1C9C4808BDEF}"/>
                </c:ext>
              </c:extLst>
            </c:dLbl>
            <c:dLbl>
              <c:idx val="8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B62-4A5E-B89F-FE10A5B1960C}"/>
                </c:ext>
              </c:extLst>
            </c:dLbl>
            <c:dLbl>
              <c:idx val="9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B62-4A5E-B89F-FE10A5B1960C}"/>
                </c:ext>
              </c:extLst>
            </c:dLbl>
            <c:dLbl>
              <c:idx val="10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B62-4A5E-B89F-FE10A5B1960C}"/>
                </c:ext>
              </c:extLst>
            </c:dLbl>
            <c:dLbl>
              <c:idx val="11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B62-4A5E-B89F-FE10A5B1960C}"/>
                </c:ext>
              </c:extLst>
            </c:dLbl>
            <c:dLbl>
              <c:idx val="12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B62-4A5E-B89F-FE10A5B1960C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>
                    <a:solidFill>
                      <a:srgbClr val="C00000"/>
                    </a:solidFill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'Peaje 3.5 Nocturno'!$B$10:$B$22</c:f>
              <c:numCache>
                <c:formatCode>#,##0</c:formatCode>
                <c:ptCount val="13"/>
                <c:pt idx="0">
                  <c:v>8250</c:v>
                </c:pt>
                <c:pt idx="1">
                  <c:v>8500</c:v>
                </c:pt>
                <c:pt idx="2">
                  <c:v>9000</c:v>
                </c:pt>
                <c:pt idx="3">
                  <c:v>9500</c:v>
                </c:pt>
                <c:pt idx="4">
                  <c:v>10000</c:v>
                </c:pt>
                <c:pt idx="5">
                  <c:v>12500</c:v>
                </c:pt>
                <c:pt idx="6">
                  <c:v>15000</c:v>
                </c:pt>
                <c:pt idx="7">
                  <c:v>17500</c:v>
                </c:pt>
                <c:pt idx="8">
                  <c:v>20000</c:v>
                </c:pt>
                <c:pt idx="9">
                  <c:v>22500</c:v>
                </c:pt>
                <c:pt idx="10">
                  <c:v>25000</c:v>
                </c:pt>
                <c:pt idx="11">
                  <c:v>27500</c:v>
                </c:pt>
                <c:pt idx="12">
                  <c:v>30000</c:v>
                </c:pt>
              </c:numCache>
            </c:numRef>
          </c:cat>
          <c:val>
            <c:numRef>
              <c:f>'Peaje 3.5 Nocturno'!$BA$10:$BA$22</c:f>
              <c:numCache>
                <c:formatCode>0%</c:formatCode>
                <c:ptCount val="13"/>
                <c:pt idx="0">
                  <c:v>0.4094620661985795</c:v>
                </c:pt>
                <c:pt idx="1">
                  <c:v>0.4094620661985795</c:v>
                </c:pt>
                <c:pt idx="2">
                  <c:v>0.40946206619857939</c:v>
                </c:pt>
                <c:pt idx="3">
                  <c:v>0.40946206619857978</c:v>
                </c:pt>
                <c:pt idx="4">
                  <c:v>0.40946206619857961</c:v>
                </c:pt>
                <c:pt idx="5">
                  <c:v>0.40946206619857978</c:v>
                </c:pt>
                <c:pt idx="6">
                  <c:v>0.40946206619857994</c:v>
                </c:pt>
                <c:pt idx="7">
                  <c:v>4.0520242799558228E-3</c:v>
                </c:pt>
                <c:pt idx="8">
                  <c:v>4.0520242799558636E-3</c:v>
                </c:pt>
                <c:pt idx="9">
                  <c:v>4.0520242799557699E-3</c:v>
                </c:pt>
                <c:pt idx="10">
                  <c:v>4.0520242799559191E-3</c:v>
                </c:pt>
                <c:pt idx="11">
                  <c:v>4.0520242799556329E-3</c:v>
                </c:pt>
                <c:pt idx="12">
                  <c:v>4.0520242799557699E-3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212E-4C6B-8902-967E40CE01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9735936"/>
        <c:axId val="179762688"/>
      </c:lineChart>
      <c:catAx>
        <c:axId val="1797359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rgbClr val="0070C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es-ES" sz="1400">
                    <a:solidFill>
                      <a:srgbClr val="0070C0"/>
                    </a:solidFill>
                  </a:rPr>
                  <a:t>Consumo MWh/año</a:t>
                </a:r>
              </a:p>
            </c:rich>
          </c:tx>
          <c:layout>
            <c:manualLayout>
              <c:xMode val="edge"/>
              <c:yMode val="edge"/>
              <c:x val="0.36579461240334976"/>
              <c:y val="0.91826043614675734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" sourceLinked="1"/>
        <c:majorTickMark val="cross"/>
        <c:minorTickMark val="none"/>
        <c:tickLblPos val="low"/>
        <c:spPr>
          <a:noFill/>
          <a:ln w="12700" cap="flat" cmpd="sng" algn="ctr">
            <a:solidFill>
              <a:srgbClr val="002060"/>
            </a:solidFill>
            <a:round/>
          </a:ln>
          <a:effectLst/>
        </c:spPr>
        <c:txPr>
          <a:bodyPr rot="-402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rgbClr val="0070C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s-ES"/>
          </a:p>
        </c:txPr>
        <c:crossAx val="179762688"/>
        <c:crossesAt val="0"/>
        <c:auto val="1"/>
        <c:lblAlgn val="ctr"/>
        <c:lblOffset val="100"/>
        <c:noMultiLvlLbl val="0"/>
      </c:catAx>
      <c:valAx>
        <c:axId val="1797626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lgDash"/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75000"/>
                    <a:lumOff val="2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s-ES"/>
          </a:p>
        </c:txPr>
        <c:crossAx val="1797359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Arial Narrow" panose="020B060602020203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Rounded MT Bold" panose="020F0704030504030204" pitchFamily="34" charset="0"/>
                <a:ea typeface="+mn-ea"/>
                <a:cs typeface="+mn-cs"/>
              </a:defRPr>
            </a:pPr>
            <a:r>
              <a:rPr lang="en-US">
                <a:solidFill>
                  <a:schemeClr val="tx1">
                    <a:lumMod val="65000"/>
                    <a:lumOff val="35000"/>
                  </a:schemeClr>
                </a:solidFill>
                <a:latin typeface="Arial Rounded MT Bold" panose="020F0704030504030204" pitchFamily="34" charset="0"/>
              </a:rPr>
              <a:t>€/MWh</a:t>
            </a:r>
            <a:r>
              <a:rPr lang="en-US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Rounded MT Bold" panose="020F0704030504030204" pitchFamily="34" charset="0"/>
              </a:rPr>
              <a:t> Peajes ATR</a:t>
            </a:r>
            <a:r>
              <a:rPr lang="en-US">
                <a:solidFill>
                  <a:schemeClr val="tx1">
                    <a:lumMod val="65000"/>
                    <a:lumOff val="35000"/>
                  </a:schemeClr>
                </a:solidFill>
                <a:latin typeface="Arial Rounded MT Bold" panose="020F0704030504030204" pitchFamily="34" charset="0"/>
              </a:rPr>
              <a:t> Peaje</a:t>
            </a:r>
            <a:r>
              <a:rPr lang="en-US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Rounded MT Bold" panose="020F0704030504030204" pitchFamily="34" charset="0"/>
              </a:rPr>
              <a:t> 3.5 (35% Consumo nocturno)</a:t>
            </a:r>
            <a:endParaRPr lang="en-US">
              <a:solidFill>
                <a:schemeClr val="tx1">
                  <a:lumMod val="65000"/>
                  <a:lumOff val="35000"/>
                </a:schemeClr>
              </a:solidFill>
              <a:latin typeface="Arial Rounded MT Bold" panose="020F0704030504030204" pitchFamily="34" charset="0"/>
            </a:endParaRPr>
          </a:p>
        </c:rich>
      </c:tx>
      <c:layout>
        <c:manualLayout>
          <c:xMode val="edge"/>
          <c:yMode val="edge"/>
          <c:x val="0.22035527380027559"/>
          <c:y val="2.2246899444474812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ATR Actual</c:v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bg1"/>
              </a:solidFill>
              <a:ln w="9525">
                <a:solidFill>
                  <a:srgbClr val="0070C0"/>
                </a:solidFill>
              </a:ln>
              <a:effectLst/>
            </c:spPr>
          </c:marker>
          <c:dLbls>
            <c:dLbl>
              <c:idx val="0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B09-41F2-8487-47314785DC60}"/>
                </c:ext>
              </c:extLst>
            </c:dLbl>
            <c:dLbl>
              <c:idx val="1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B09-41F2-8487-47314785DC60}"/>
                </c:ext>
              </c:extLst>
            </c:dLbl>
            <c:dLbl>
              <c:idx val="2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B09-41F2-8487-47314785DC60}"/>
                </c:ext>
              </c:extLst>
            </c:dLbl>
            <c:dLbl>
              <c:idx val="3"/>
              <c:layout>
                <c:manualLayout>
                  <c:x val="-9.8135017790621587E-2"/>
                  <c:y val="5.448315248429468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10C-4EF0-8B5D-253B69FEF9D6}"/>
                </c:ext>
              </c:extLst>
            </c:dLbl>
            <c:dLbl>
              <c:idx val="4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B09-41F2-8487-47314785DC60}"/>
                </c:ext>
              </c:extLst>
            </c:dLbl>
            <c:dLbl>
              <c:idx val="5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B09-41F2-8487-47314785DC60}"/>
                </c:ext>
              </c:extLst>
            </c:dLbl>
            <c:dLbl>
              <c:idx val="6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B09-41F2-8487-47314785DC60}"/>
                </c:ext>
              </c:extLst>
            </c:dLbl>
            <c:dLbl>
              <c:idx val="7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B09-41F2-8487-47314785DC60}"/>
                </c:ext>
              </c:extLst>
            </c:dLbl>
            <c:dLbl>
              <c:idx val="8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B09-41F2-8487-47314785DC60}"/>
                </c:ext>
              </c:extLst>
            </c:dLbl>
            <c:dLbl>
              <c:idx val="9"/>
              <c:layout>
                <c:manualLayout>
                  <c:x val="-3.0458251917157102E-2"/>
                  <c:y val="5.09145659118191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EB09-41F2-8487-47314785DC60}"/>
                </c:ext>
              </c:extLst>
            </c:dLbl>
            <c:dLbl>
              <c:idx val="10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EB09-41F2-8487-47314785DC60}"/>
                </c:ext>
              </c:extLst>
            </c:dLbl>
            <c:dLbl>
              <c:idx val="11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B09-41F2-8487-47314785DC60}"/>
                </c:ext>
              </c:extLst>
            </c:dLbl>
            <c:dLbl>
              <c:idx val="12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EB09-41F2-8487-47314785DC6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rgbClr val="0070C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es-E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'Peaje 3.5 Nocturno'!$B$10:$B$22</c:f>
              <c:numCache>
                <c:formatCode>#,##0</c:formatCode>
                <c:ptCount val="13"/>
                <c:pt idx="0">
                  <c:v>8250</c:v>
                </c:pt>
                <c:pt idx="1">
                  <c:v>8500</c:v>
                </c:pt>
                <c:pt idx="2">
                  <c:v>9000</c:v>
                </c:pt>
                <c:pt idx="3">
                  <c:v>9500</c:v>
                </c:pt>
                <c:pt idx="4">
                  <c:v>10000</c:v>
                </c:pt>
                <c:pt idx="5">
                  <c:v>12500</c:v>
                </c:pt>
                <c:pt idx="6">
                  <c:v>15000</c:v>
                </c:pt>
                <c:pt idx="7">
                  <c:v>17500</c:v>
                </c:pt>
                <c:pt idx="8">
                  <c:v>20000</c:v>
                </c:pt>
                <c:pt idx="9">
                  <c:v>22500</c:v>
                </c:pt>
                <c:pt idx="10">
                  <c:v>25000</c:v>
                </c:pt>
                <c:pt idx="11">
                  <c:v>27500</c:v>
                </c:pt>
                <c:pt idx="12">
                  <c:v>30000</c:v>
                </c:pt>
              </c:numCache>
            </c:numRef>
          </c:cat>
          <c:val>
            <c:numRef>
              <c:f>'Peaje 3.5 Nocturno'!$S$10:$S$22</c:f>
              <c:numCache>
                <c:formatCode>0.00</c:formatCode>
                <c:ptCount val="13"/>
                <c:pt idx="0">
                  <c:v>5.1950546333601935</c:v>
                </c:pt>
                <c:pt idx="1">
                  <c:v>5.1950546333601944</c:v>
                </c:pt>
                <c:pt idx="2">
                  <c:v>5.1950546333601935</c:v>
                </c:pt>
                <c:pt idx="3">
                  <c:v>5.1950546333601926</c:v>
                </c:pt>
                <c:pt idx="4">
                  <c:v>5.1950546333601935</c:v>
                </c:pt>
                <c:pt idx="5">
                  <c:v>5.1950546333601935</c:v>
                </c:pt>
                <c:pt idx="6">
                  <c:v>5.1950546333601935</c:v>
                </c:pt>
                <c:pt idx="7">
                  <c:v>5.1950546333601944</c:v>
                </c:pt>
                <c:pt idx="8">
                  <c:v>5.1950546333601935</c:v>
                </c:pt>
                <c:pt idx="9">
                  <c:v>5.1950546333601935</c:v>
                </c:pt>
                <c:pt idx="10">
                  <c:v>5.1950546333601935</c:v>
                </c:pt>
                <c:pt idx="11">
                  <c:v>5.1950546333601944</c:v>
                </c:pt>
                <c:pt idx="12">
                  <c:v>5.1950546333601935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EB09-41F2-8487-47314785DC60}"/>
            </c:ext>
          </c:extLst>
        </c:ser>
        <c:ser>
          <c:idx val="1"/>
          <c:order val="1"/>
          <c:tx>
            <c:v>ATR Circular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bg1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dLbl>
              <c:idx val="0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EB09-41F2-8487-47314785DC60}"/>
                </c:ext>
              </c:extLst>
            </c:dLbl>
            <c:dLbl>
              <c:idx val="1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B09-41F2-8487-47314785DC60}"/>
                </c:ext>
              </c:extLst>
            </c:dLbl>
            <c:dLbl>
              <c:idx val="3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EB09-41F2-8487-47314785DC60}"/>
                </c:ext>
              </c:extLst>
            </c:dLbl>
            <c:dLbl>
              <c:idx val="4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EB09-41F2-8487-47314785DC60}"/>
                </c:ext>
              </c:extLst>
            </c:dLbl>
            <c:dLbl>
              <c:idx val="5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EB09-41F2-8487-47314785DC60}"/>
                </c:ext>
              </c:extLst>
            </c:dLbl>
            <c:dLbl>
              <c:idx val="6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EB09-41F2-8487-47314785DC60}"/>
                </c:ext>
              </c:extLst>
            </c:dLbl>
            <c:dLbl>
              <c:idx val="7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EB09-41F2-8487-47314785DC60}"/>
                </c:ext>
              </c:extLst>
            </c:dLbl>
            <c:dLbl>
              <c:idx val="8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EB09-41F2-8487-47314785DC60}"/>
                </c:ext>
              </c:extLst>
            </c:dLbl>
            <c:dLbl>
              <c:idx val="9"/>
              <c:layout>
                <c:manualLayout>
                  <c:x val="-2.6333529119852365E-2"/>
                  <c:y val="-5.152830588378914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EB09-41F2-8487-47314785DC60}"/>
                </c:ext>
              </c:extLst>
            </c:dLbl>
            <c:dLbl>
              <c:idx val="10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EB09-41F2-8487-47314785DC60}"/>
                </c:ext>
              </c:extLst>
            </c:dLbl>
            <c:dLbl>
              <c:idx val="11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EB09-41F2-8487-47314785DC60}"/>
                </c:ext>
              </c:extLst>
            </c:dLbl>
            <c:dLbl>
              <c:idx val="12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EB09-41F2-8487-47314785DC6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rgbClr val="C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'Peaje 3.5 Nocturno'!$B$10:$B$22</c:f>
              <c:numCache>
                <c:formatCode>#,##0</c:formatCode>
                <c:ptCount val="13"/>
                <c:pt idx="0">
                  <c:v>8250</c:v>
                </c:pt>
                <c:pt idx="1">
                  <c:v>8500</c:v>
                </c:pt>
                <c:pt idx="2">
                  <c:v>9000</c:v>
                </c:pt>
                <c:pt idx="3">
                  <c:v>9500</c:v>
                </c:pt>
                <c:pt idx="4">
                  <c:v>10000</c:v>
                </c:pt>
                <c:pt idx="5">
                  <c:v>12500</c:v>
                </c:pt>
                <c:pt idx="6">
                  <c:v>15000</c:v>
                </c:pt>
                <c:pt idx="7">
                  <c:v>17500</c:v>
                </c:pt>
                <c:pt idx="8">
                  <c:v>20000</c:v>
                </c:pt>
                <c:pt idx="9">
                  <c:v>22500</c:v>
                </c:pt>
                <c:pt idx="10">
                  <c:v>25000</c:v>
                </c:pt>
                <c:pt idx="11">
                  <c:v>27500</c:v>
                </c:pt>
                <c:pt idx="12">
                  <c:v>30000</c:v>
                </c:pt>
              </c:numCache>
            </c:numRef>
          </c:cat>
          <c:val>
            <c:numRef>
              <c:f>'Peaje 3.5 Nocturno'!$AU$10:$AU$22</c:f>
              <c:numCache>
                <c:formatCode>0.00</c:formatCode>
                <c:ptCount val="13"/>
                <c:pt idx="0">
                  <c:v>7.3222324375503627</c:v>
                </c:pt>
                <c:pt idx="1">
                  <c:v>7.3222324375503636</c:v>
                </c:pt>
                <c:pt idx="2">
                  <c:v>7.3222324375503618</c:v>
                </c:pt>
                <c:pt idx="3">
                  <c:v>7.3222324375503627</c:v>
                </c:pt>
                <c:pt idx="4">
                  <c:v>7.3222324375503627</c:v>
                </c:pt>
                <c:pt idx="5">
                  <c:v>7.3222324375503636</c:v>
                </c:pt>
                <c:pt idx="6">
                  <c:v>7.3222324375503636</c:v>
                </c:pt>
                <c:pt idx="7">
                  <c:v>5.2161051208702665</c:v>
                </c:pt>
                <c:pt idx="8">
                  <c:v>5.2161051208702656</c:v>
                </c:pt>
                <c:pt idx="9">
                  <c:v>5.2161051208702656</c:v>
                </c:pt>
                <c:pt idx="10">
                  <c:v>5.2161051208702665</c:v>
                </c:pt>
                <c:pt idx="11">
                  <c:v>5.2161051208702656</c:v>
                </c:pt>
                <c:pt idx="12">
                  <c:v>5.2161051208702656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B09-41F2-8487-47314785DC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1491968"/>
        <c:axId val="181522816"/>
      </c:lineChart>
      <c:catAx>
        <c:axId val="1814919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rgbClr val="0070C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es-ES" sz="1400">
                    <a:solidFill>
                      <a:srgbClr val="0070C0"/>
                    </a:solidFill>
                  </a:rPr>
                  <a:t>Consumo MWh/año</a:t>
                </a:r>
              </a:p>
            </c:rich>
          </c:tx>
          <c:layout>
            <c:manualLayout>
              <c:xMode val="edge"/>
              <c:yMode val="edge"/>
              <c:x val="0.38433481959333399"/>
              <c:y val="0.90283633900601135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" sourceLinked="1"/>
        <c:majorTickMark val="cross"/>
        <c:minorTickMark val="none"/>
        <c:tickLblPos val="low"/>
        <c:spPr>
          <a:noFill/>
          <a:ln w="12700" cap="flat" cmpd="sng" algn="ctr">
            <a:solidFill>
              <a:srgbClr val="002060"/>
            </a:solidFill>
            <a:round/>
          </a:ln>
          <a:effectLst/>
        </c:spPr>
        <c:txPr>
          <a:bodyPr rot="-4020000" spcFirstLastPara="1" vertOverflow="ellipsis" wrap="square" anchor="ctr" anchorCtr="1"/>
          <a:lstStyle/>
          <a:p>
            <a:pPr>
              <a:defRPr sz="1050" b="0" i="0" u="none" strike="noStrike" kern="1200" baseline="0">
                <a:solidFill>
                  <a:srgbClr val="0070C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s-ES"/>
          </a:p>
        </c:txPr>
        <c:crossAx val="181522816"/>
        <c:crossesAt val="0"/>
        <c:auto val="1"/>
        <c:lblAlgn val="ctr"/>
        <c:lblOffset val="100"/>
        <c:noMultiLvlLbl val="0"/>
      </c:catAx>
      <c:valAx>
        <c:axId val="1815228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lgDash"/>
              <a:round/>
            </a:ln>
            <a:effectLst/>
          </c:spPr>
        </c:majorGridlines>
        <c:numFmt formatCode="#,##0.0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s-ES"/>
          </a:p>
        </c:txPr>
        <c:crossAx val="1814919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Arial Narrow" panose="020B060602020203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Rounded MT Bold" panose="020F0704030504030204" pitchFamily="34" charset="0"/>
                <a:ea typeface="+mn-ea"/>
                <a:cs typeface="+mn-cs"/>
              </a:defRPr>
            </a:pPr>
            <a:r>
              <a:rPr lang="el-GR" sz="1400">
                <a:solidFill>
                  <a:schemeClr val="tx1">
                    <a:lumMod val="65000"/>
                    <a:lumOff val="35000"/>
                  </a:schemeClr>
                </a:solidFill>
              </a:rPr>
              <a:t>Δ</a:t>
            </a:r>
            <a:r>
              <a:rPr lang="en-US" sz="1400">
                <a:solidFill>
                  <a:schemeClr val="tx1">
                    <a:lumMod val="65000"/>
                    <a:lumOff val="35000"/>
                  </a:schemeClr>
                </a:solidFill>
                <a:latin typeface="Arial Rounded MT Bold" panose="020F0704030504030204" pitchFamily="34" charset="0"/>
              </a:rPr>
              <a:t> €/MWh ATR Peaje 3.5 (35% Consumo</a:t>
            </a:r>
            <a:r>
              <a:rPr lang="en-US" sz="14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Rounded MT Bold" panose="020F0704030504030204" pitchFamily="34" charset="0"/>
              </a:rPr>
              <a:t> nocturno)</a:t>
            </a:r>
            <a:endParaRPr lang="en-US" sz="1400">
              <a:solidFill>
                <a:schemeClr val="tx1">
                  <a:lumMod val="65000"/>
                  <a:lumOff val="35000"/>
                </a:schemeClr>
              </a:solidFill>
              <a:latin typeface="Arial Rounded MT Bold" panose="020F0704030504030204" pitchFamily="34" charset="0"/>
            </a:endParaRP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'Peaje 3.5 Nocturno'!$BB$9</c:f>
              <c:strCache>
                <c:ptCount val="1"/>
                <c:pt idx="0">
                  <c:v>D €/MWh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16A8-442A-8C35-B76EFED952A6}"/>
              </c:ext>
            </c:extLst>
          </c:dPt>
          <c:dPt>
            <c:idx val="1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16A8-442A-8C35-B76EFED952A6}"/>
              </c:ext>
            </c:extLst>
          </c:dPt>
          <c:dPt>
            <c:idx val="2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5-16A8-442A-8C35-B76EFED952A6}"/>
              </c:ext>
            </c:extLst>
          </c:dPt>
          <c:dPt>
            <c:idx val="3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7-16A8-442A-8C35-B76EFED952A6}"/>
              </c:ext>
            </c:extLst>
          </c:dPt>
          <c:dPt>
            <c:idx val="4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9-16A8-442A-8C35-B76EFED952A6}"/>
              </c:ext>
            </c:extLst>
          </c:dPt>
          <c:dPt>
            <c:idx val="5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B-16A8-442A-8C35-B76EFED952A6}"/>
              </c:ext>
            </c:extLst>
          </c:dPt>
          <c:dPt>
            <c:idx val="6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D-16A8-442A-8C35-B76EFED952A6}"/>
              </c:ext>
            </c:extLst>
          </c:dPt>
          <c:dLbls>
            <c:dLbl>
              <c:idx val="7"/>
              <c:numFmt formatCode="#,##0.00" sourceLinked="0"/>
              <c:spPr/>
              <c:txPr>
                <a:bodyPr/>
                <a:lstStyle/>
                <a:p>
                  <a:pPr>
                    <a:defRPr sz="1400">
                      <a:solidFill>
                        <a:srgbClr val="C00000"/>
                      </a:solidFill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numFmt formatCode="#,##0.00" sourceLinked="0"/>
              <c:spPr/>
              <c:txPr>
                <a:bodyPr/>
                <a:lstStyle/>
                <a:p>
                  <a:pPr>
                    <a:defRPr sz="1400">
                      <a:solidFill>
                        <a:srgbClr val="C00000"/>
                      </a:solidFill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numFmt formatCode="#,##0.00" sourceLinked="0"/>
              <c:spPr/>
              <c:txPr>
                <a:bodyPr/>
                <a:lstStyle/>
                <a:p>
                  <a:pPr>
                    <a:defRPr sz="1400">
                      <a:solidFill>
                        <a:srgbClr val="C00000"/>
                      </a:solidFill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numFmt formatCode="#,##0.00" sourceLinked="0"/>
              <c:spPr/>
              <c:txPr>
                <a:bodyPr/>
                <a:lstStyle/>
                <a:p>
                  <a:pPr>
                    <a:defRPr sz="1400">
                      <a:solidFill>
                        <a:srgbClr val="C00000"/>
                      </a:solidFill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numFmt formatCode="#,##0.00" sourceLinked="0"/>
              <c:spPr/>
              <c:txPr>
                <a:bodyPr/>
                <a:lstStyle/>
                <a:p>
                  <a:pPr>
                    <a:defRPr sz="1400">
                      <a:solidFill>
                        <a:srgbClr val="C00000"/>
                      </a:solidFill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2"/>
              <c:numFmt formatCode="#,##0.00" sourceLinked="0"/>
              <c:spPr/>
              <c:txPr>
                <a:bodyPr/>
                <a:lstStyle/>
                <a:p>
                  <a:pPr>
                    <a:defRPr sz="1400">
                      <a:solidFill>
                        <a:srgbClr val="C00000"/>
                      </a:solidFill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>
                    <a:solidFill>
                      <a:srgbClr val="C00000"/>
                    </a:solidFill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'Peaje 3.5 Nocturno'!$B$10:$B$22</c:f>
              <c:numCache>
                <c:formatCode>#,##0</c:formatCode>
                <c:ptCount val="13"/>
                <c:pt idx="0">
                  <c:v>8250</c:v>
                </c:pt>
                <c:pt idx="1">
                  <c:v>8500</c:v>
                </c:pt>
                <c:pt idx="2">
                  <c:v>9000</c:v>
                </c:pt>
                <c:pt idx="3">
                  <c:v>9500</c:v>
                </c:pt>
                <c:pt idx="4">
                  <c:v>10000</c:v>
                </c:pt>
                <c:pt idx="5">
                  <c:v>12500</c:v>
                </c:pt>
                <c:pt idx="6">
                  <c:v>15000</c:v>
                </c:pt>
                <c:pt idx="7">
                  <c:v>17500</c:v>
                </c:pt>
                <c:pt idx="8">
                  <c:v>20000</c:v>
                </c:pt>
                <c:pt idx="9">
                  <c:v>22500</c:v>
                </c:pt>
                <c:pt idx="10">
                  <c:v>25000</c:v>
                </c:pt>
                <c:pt idx="11">
                  <c:v>27500</c:v>
                </c:pt>
                <c:pt idx="12">
                  <c:v>30000</c:v>
                </c:pt>
              </c:numCache>
            </c:numRef>
          </c:cat>
          <c:val>
            <c:numRef>
              <c:f>'Peaje 3.5 Nocturno'!$BB$10:$BB$22</c:f>
              <c:numCache>
                <c:formatCode>#,##0.00</c:formatCode>
                <c:ptCount val="13"/>
                <c:pt idx="0">
                  <c:v>2.1271778041901692</c:v>
                </c:pt>
                <c:pt idx="1">
                  <c:v>2.1271778041901692</c:v>
                </c:pt>
                <c:pt idx="2">
                  <c:v>2.1271778041901683</c:v>
                </c:pt>
                <c:pt idx="3">
                  <c:v>2.1271778041901701</c:v>
                </c:pt>
                <c:pt idx="4">
                  <c:v>2.1271778041901692</c:v>
                </c:pt>
                <c:pt idx="5">
                  <c:v>2.1271778041901701</c:v>
                </c:pt>
                <c:pt idx="6">
                  <c:v>2.1271778041901701</c:v>
                </c:pt>
                <c:pt idx="7">
                  <c:v>2.1050487510072102E-2</c:v>
                </c:pt>
                <c:pt idx="8">
                  <c:v>2.1050487510072102E-2</c:v>
                </c:pt>
                <c:pt idx="9">
                  <c:v>2.1050487510072102E-2</c:v>
                </c:pt>
                <c:pt idx="10">
                  <c:v>2.105048751007299E-2</c:v>
                </c:pt>
                <c:pt idx="11">
                  <c:v>2.1050487510071214E-2</c:v>
                </c:pt>
                <c:pt idx="12">
                  <c:v>2.1050487510072102E-2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4-16A8-442A-8C35-B76EFED952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8"/>
        <c:overlap val="-100"/>
        <c:axId val="184507392"/>
        <c:axId val="184530048"/>
      </c:barChart>
      <c:catAx>
        <c:axId val="18450739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rgbClr val="0070C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es-ES" sz="1400">
                    <a:solidFill>
                      <a:srgbClr val="0070C0"/>
                    </a:solidFill>
                  </a:rPr>
                  <a:t>Consumo</a:t>
                </a:r>
                <a:r>
                  <a:rPr lang="es-ES" sz="1400" baseline="0">
                    <a:solidFill>
                      <a:srgbClr val="0070C0"/>
                    </a:solidFill>
                  </a:rPr>
                  <a:t> MWh/año</a:t>
                </a:r>
                <a:endParaRPr lang="es-ES" sz="1400">
                  <a:solidFill>
                    <a:srgbClr val="0070C0"/>
                  </a:solidFill>
                </a:endParaRPr>
              </a:p>
            </c:rich>
          </c:tx>
          <c:layout>
            <c:manualLayout>
              <c:xMode val="edge"/>
              <c:yMode val="edge"/>
              <c:x val="0.43311625440759305"/>
              <c:y val="0.91666652068936316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" sourceLinked="1"/>
        <c:majorTickMark val="cross"/>
        <c:minorTickMark val="none"/>
        <c:tickLblPos val="low"/>
        <c:spPr>
          <a:noFill/>
          <a:ln w="15875" cap="flat" cmpd="sng" algn="ctr">
            <a:solidFill>
              <a:srgbClr val="002060"/>
            </a:solidFill>
            <a:round/>
          </a:ln>
          <a:effectLst/>
        </c:spPr>
        <c:txPr>
          <a:bodyPr rot="-4140000" spcFirstLastPara="1" vertOverflow="ellipsis" wrap="square" anchor="ctr" anchorCtr="1"/>
          <a:lstStyle/>
          <a:p>
            <a:pPr>
              <a:defRPr sz="1400" b="0" i="0" u="none" strike="noStrike" kern="1200" baseline="0">
                <a:solidFill>
                  <a:srgbClr val="0070C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s-ES"/>
          </a:p>
        </c:txPr>
        <c:crossAx val="184530048"/>
        <c:crossesAt val="0"/>
        <c:auto val="1"/>
        <c:lblAlgn val="ctr"/>
        <c:lblOffset val="100"/>
        <c:noMultiLvlLbl val="0"/>
      </c:catAx>
      <c:valAx>
        <c:axId val="1845300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lgDash"/>
              <a:round/>
            </a:ln>
            <a:effectLst/>
          </c:spPr>
        </c:majorGridlines>
        <c:numFmt formatCode="#,##0\ &quot;€&quot;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75000"/>
                    <a:lumOff val="2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s-ES"/>
          </a:p>
        </c:txPr>
        <c:crossAx val="1845073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Arial Narrow" panose="020B060602020203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75000"/>
                    <a:lumOff val="25000"/>
                  </a:schemeClr>
                </a:solidFill>
                <a:latin typeface="Arial Rounded MT Bold" panose="020F0704030504030204" pitchFamily="34" charset="0"/>
                <a:ea typeface="+mn-ea"/>
                <a:cs typeface="+mn-cs"/>
              </a:defRPr>
            </a:pPr>
            <a:r>
              <a:rPr lang="el-GR">
                <a:solidFill>
                  <a:schemeClr val="tx1">
                    <a:lumMod val="75000"/>
                    <a:lumOff val="25000"/>
                  </a:schemeClr>
                </a:solidFill>
              </a:rPr>
              <a:t>Δ</a:t>
            </a:r>
            <a:r>
              <a:rPr lang="en-US">
                <a:solidFill>
                  <a:schemeClr val="tx1">
                    <a:lumMod val="75000"/>
                    <a:lumOff val="25000"/>
                  </a:schemeClr>
                </a:solidFill>
                <a:latin typeface="Arial Rounded MT Bold" panose="020F0704030504030204" pitchFamily="34" charset="0"/>
              </a:rPr>
              <a:t> €</a:t>
            </a:r>
            <a:r>
              <a:rPr lang="en-US" baseline="0">
                <a:solidFill>
                  <a:schemeClr val="tx1">
                    <a:lumMod val="75000"/>
                    <a:lumOff val="25000"/>
                  </a:schemeClr>
                </a:solidFill>
                <a:latin typeface="Arial Rounded MT Bold" panose="020F0704030504030204" pitchFamily="34" charset="0"/>
              </a:rPr>
              <a:t> ATR</a:t>
            </a:r>
            <a:r>
              <a:rPr lang="en-US">
                <a:solidFill>
                  <a:schemeClr val="tx1">
                    <a:lumMod val="75000"/>
                    <a:lumOff val="25000"/>
                  </a:schemeClr>
                </a:solidFill>
                <a:latin typeface="Arial Rounded MT Bold" panose="020F0704030504030204" pitchFamily="34" charset="0"/>
              </a:rPr>
              <a:t> Grupo 3 (excepto</a:t>
            </a:r>
            <a:r>
              <a:rPr lang="en-US" baseline="0">
                <a:solidFill>
                  <a:schemeClr val="tx1">
                    <a:lumMod val="75000"/>
                    <a:lumOff val="25000"/>
                  </a:schemeClr>
                </a:solidFill>
                <a:latin typeface="Arial Rounded MT Bold" panose="020F0704030504030204" pitchFamily="34" charset="0"/>
              </a:rPr>
              <a:t> 3.5)</a:t>
            </a:r>
            <a:endParaRPr lang="en-US">
              <a:solidFill>
                <a:schemeClr val="tx1">
                  <a:lumMod val="75000"/>
                  <a:lumOff val="25000"/>
                </a:schemeClr>
              </a:solidFill>
              <a:latin typeface="Arial Rounded MT Bold" panose="020F0704030504030204" pitchFamily="34" charset="0"/>
            </a:endParaRPr>
          </a:p>
        </c:rich>
      </c:tx>
      <c:layout>
        <c:manualLayout>
          <c:xMode val="edge"/>
          <c:yMode val="edge"/>
          <c:x val="0.34020201428309832"/>
          <c:y val="1.60773258429368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'Grupo 3'!$AZ$9</c:f>
              <c:strCache>
                <c:ptCount val="1"/>
                <c:pt idx="0">
                  <c:v>D €/año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bg1"/>
              </a:solidFill>
              <a:ln w="9525">
                <a:solidFill>
                  <a:srgbClr val="C00000"/>
                </a:solidFill>
              </a:ln>
              <a:effectLst/>
            </c:spPr>
          </c:marker>
          <c:cat>
            <c:numRef>
              <c:f>'Grupo 3'!$B$10:$B$34</c:f>
              <c:numCache>
                <c:formatCode>#,##0.00</c:formatCode>
                <c:ptCount val="25"/>
                <c:pt idx="0">
                  <c:v>0.5</c:v>
                </c:pt>
                <c:pt idx="1">
                  <c:v>1</c:v>
                </c:pt>
                <c:pt idx="2">
                  <c:v>1.5</c:v>
                </c:pt>
                <c:pt idx="3" formatCode="#,##0.0">
                  <c:v>3</c:v>
                </c:pt>
                <c:pt idx="4" formatCode="#,##0.0">
                  <c:v>5</c:v>
                </c:pt>
                <c:pt idx="5" formatCode="#,##0">
                  <c:v>10</c:v>
                </c:pt>
                <c:pt idx="6" formatCode="#,##0">
                  <c:v>25</c:v>
                </c:pt>
                <c:pt idx="7" formatCode="#,##0">
                  <c:v>50</c:v>
                </c:pt>
                <c:pt idx="8" formatCode="#,##0">
                  <c:v>75</c:v>
                </c:pt>
                <c:pt idx="9" formatCode="#,##0">
                  <c:v>100</c:v>
                </c:pt>
                <c:pt idx="10" formatCode="#,##0">
                  <c:v>150</c:v>
                </c:pt>
                <c:pt idx="11" formatCode="#,##0">
                  <c:v>250</c:v>
                </c:pt>
                <c:pt idx="12" formatCode="#,##0">
                  <c:v>500</c:v>
                </c:pt>
                <c:pt idx="13" formatCode="#,##0">
                  <c:v>1000</c:v>
                </c:pt>
                <c:pt idx="14" formatCode="#,##0">
                  <c:v>1500</c:v>
                </c:pt>
                <c:pt idx="15" formatCode="#,##0">
                  <c:v>2000</c:v>
                </c:pt>
                <c:pt idx="16" formatCode="#,##0">
                  <c:v>3000</c:v>
                </c:pt>
                <c:pt idx="17" formatCode="#,##0">
                  <c:v>3500</c:v>
                </c:pt>
                <c:pt idx="18" formatCode="#,##0">
                  <c:v>4000</c:v>
                </c:pt>
                <c:pt idx="19" formatCode="#,##0">
                  <c:v>4500</c:v>
                </c:pt>
                <c:pt idx="20" formatCode="#,##0">
                  <c:v>5000</c:v>
                </c:pt>
                <c:pt idx="21" formatCode="#,##0">
                  <c:v>5500</c:v>
                </c:pt>
                <c:pt idx="22" formatCode="#,##0">
                  <c:v>6000</c:v>
                </c:pt>
                <c:pt idx="23" formatCode="#,##0">
                  <c:v>7000</c:v>
                </c:pt>
                <c:pt idx="24" formatCode="#,##0">
                  <c:v>7500</c:v>
                </c:pt>
              </c:numCache>
            </c:numRef>
          </c:cat>
          <c:val>
            <c:numRef>
              <c:f>'Grupo 3'!$BA$10:$BA$34</c:f>
              <c:numCache>
                <c:formatCode>0%</c:formatCode>
                <c:ptCount val="25"/>
                <c:pt idx="0">
                  <c:v>-0.63923531558009195</c:v>
                </c:pt>
                <c:pt idx="1">
                  <c:v>-0.56212203629425128</c:v>
                </c:pt>
                <c:pt idx="2">
                  <c:v>-0.51644027946215543</c:v>
                </c:pt>
                <c:pt idx="3">
                  <c:v>-0.44872579894380032</c:v>
                </c:pt>
                <c:pt idx="4">
                  <c:v>-0.23031516426956272</c:v>
                </c:pt>
                <c:pt idx="5">
                  <c:v>-0.18657562329155128</c:v>
                </c:pt>
                <c:pt idx="6">
                  <c:v>-2.6761465723881373E-2</c:v>
                </c:pt>
                <c:pt idx="7">
                  <c:v>-0.1014253979091698</c:v>
                </c:pt>
                <c:pt idx="8">
                  <c:v>-1.4749895320393029E-2</c:v>
                </c:pt>
                <c:pt idx="9">
                  <c:v>-1.9338477180274036E-3</c:v>
                </c:pt>
                <c:pt idx="10">
                  <c:v>5.7894347335762403E-2</c:v>
                </c:pt>
                <c:pt idx="11">
                  <c:v>0.12451811810236081</c:v>
                </c:pt>
                <c:pt idx="12">
                  <c:v>0.43947049905786806</c:v>
                </c:pt>
                <c:pt idx="13">
                  <c:v>0.36277039440902376</c:v>
                </c:pt>
                <c:pt idx="14">
                  <c:v>0.33515436023758638</c:v>
                </c:pt>
                <c:pt idx="15">
                  <c:v>0.28389108260240242</c:v>
                </c:pt>
                <c:pt idx="16">
                  <c:v>0.15480646779011423</c:v>
                </c:pt>
                <c:pt idx="17">
                  <c:v>0.11743145833197713</c:v>
                </c:pt>
                <c:pt idx="18">
                  <c:v>8.9253954288550139E-2</c:v>
                </c:pt>
                <c:pt idx="19">
                  <c:v>6.7250849027644166E-2</c:v>
                </c:pt>
                <c:pt idx="20">
                  <c:v>-1.7590632386183129E-2</c:v>
                </c:pt>
                <c:pt idx="21">
                  <c:v>-0.49441902441486713</c:v>
                </c:pt>
                <c:pt idx="22">
                  <c:v>-0.49390457690181572</c:v>
                </c:pt>
                <c:pt idx="23">
                  <c:v>-0.49309404074935381</c:v>
                </c:pt>
                <c:pt idx="24">
                  <c:v>-0.49276909887931081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F778-4FCE-9B68-D98C9A91A5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944128"/>
        <c:axId val="184954880"/>
      </c:lineChart>
      <c:catAx>
        <c:axId val="1849441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rgbClr val="0070C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es-ES" sz="1400">
                    <a:solidFill>
                      <a:srgbClr val="0070C0"/>
                    </a:solidFill>
                  </a:rPr>
                  <a:t>Consumo MWh/año</a:t>
                </a:r>
              </a:p>
            </c:rich>
          </c:tx>
          <c:layout>
            <c:manualLayout>
              <c:xMode val="edge"/>
              <c:yMode val="edge"/>
              <c:x val="0.38433481959333399"/>
              <c:y val="0.90283633900601135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.00" sourceLinked="1"/>
        <c:majorTickMark val="cross"/>
        <c:minorTickMark val="none"/>
        <c:tickLblPos val="low"/>
        <c:spPr>
          <a:noFill/>
          <a:ln w="12700" cap="flat" cmpd="sng" algn="ctr">
            <a:solidFill>
              <a:srgbClr val="002060"/>
            </a:solidFill>
            <a:round/>
          </a:ln>
          <a:effectLst/>
        </c:spPr>
        <c:txPr>
          <a:bodyPr rot="-4020000" spcFirstLastPara="1" vertOverflow="ellipsis" wrap="square" anchor="ctr" anchorCtr="1"/>
          <a:lstStyle/>
          <a:p>
            <a:pPr>
              <a:defRPr sz="1400" b="0" i="0" u="none" strike="noStrike" kern="1200" baseline="0">
                <a:solidFill>
                  <a:srgbClr val="0070C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s-ES"/>
          </a:p>
        </c:txPr>
        <c:crossAx val="184954880"/>
        <c:crossesAt val="0"/>
        <c:auto val="1"/>
        <c:lblAlgn val="ctr"/>
        <c:lblOffset val="100"/>
        <c:noMultiLvlLbl val="0"/>
      </c:catAx>
      <c:valAx>
        <c:axId val="184954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lgDash"/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75000"/>
                    <a:lumOff val="2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s-ES"/>
          </a:p>
        </c:txPr>
        <c:crossAx val="184944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Arial Narrow" panose="020B060602020203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Rounded MT Bold" panose="020F0704030504030204" pitchFamily="34" charset="0"/>
                <a:ea typeface="+mn-ea"/>
                <a:cs typeface="+mn-cs"/>
              </a:defRPr>
            </a:pPr>
            <a:r>
              <a:rPr lang="el-GR" sz="1400">
                <a:solidFill>
                  <a:schemeClr val="tx1">
                    <a:lumMod val="65000"/>
                    <a:lumOff val="35000"/>
                  </a:schemeClr>
                </a:solidFill>
              </a:rPr>
              <a:t>Δ</a:t>
            </a:r>
            <a:r>
              <a:rPr lang="en-US" sz="1400">
                <a:solidFill>
                  <a:schemeClr val="tx1">
                    <a:lumMod val="65000"/>
                    <a:lumOff val="35000"/>
                  </a:schemeClr>
                </a:solidFill>
                <a:latin typeface="Arial Rounded MT Bold" panose="020F0704030504030204" pitchFamily="34" charset="0"/>
              </a:rPr>
              <a:t> €/año ATR Grupo 3 (excepto 3.5)</a:t>
            </a:r>
          </a:p>
        </c:rich>
      </c:tx>
      <c:layout>
        <c:manualLayout>
          <c:xMode val="edge"/>
          <c:yMode val="edge"/>
          <c:x val="0.3372784111376706"/>
          <c:y val="2.5331826056203235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'Grupo 3'!$AZ$9</c:f>
              <c:strCache>
                <c:ptCount val="1"/>
                <c:pt idx="0">
                  <c:v>D €/año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Pt>
            <c:idx val="20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E1FB-4BB9-84C5-EEC40C9515B3}"/>
              </c:ext>
            </c:extLst>
          </c:dPt>
          <c:dPt>
            <c:idx val="21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1BCD-4E3F-ABB6-26D265F6C8CB}"/>
              </c:ext>
            </c:extLst>
          </c:dPt>
          <c:dPt>
            <c:idx val="22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1BCD-4E3F-ABB6-26D265F6C8CB}"/>
              </c:ext>
            </c:extLst>
          </c:dPt>
          <c:dPt>
            <c:idx val="23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1BCD-4E3F-ABB6-26D265F6C8CB}"/>
              </c:ext>
            </c:extLst>
          </c:dPt>
          <c:dPt>
            <c:idx val="24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1BCD-4E3F-ABB6-26D265F6C8CB}"/>
              </c:ext>
            </c:extLst>
          </c:dPt>
          <c:dPt>
            <c:idx val="31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0-97C4-4FF3-84DA-3228A1C150EE}"/>
              </c:ext>
            </c:extLst>
          </c:dPt>
          <c:dPt>
            <c:idx val="32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97C4-4FF3-84DA-3228A1C150EE}"/>
              </c:ext>
            </c:extLst>
          </c:dPt>
          <c:dPt>
            <c:idx val="33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97C4-4FF3-84DA-3228A1C150EE}"/>
              </c:ext>
            </c:extLst>
          </c:dPt>
          <c:dPt>
            <c:idx val="34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97C4-4FF3-84DA-3228A1C150EE}"/>
              </c:ext>
            </c:extLst>
          </c:dPt>
          <c:dPt>
            <c:idx val="35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97C4-4FF3-84DA-3228A1C150EE}"/>
              </c:ext>
            </c:extLst>
          </c:dPt>
          <c:cat>
            <c:numRef>
              <c:f>'Grupo 3'!$B$10:$B$34</c:f>
              <c:numCache>
                <c:formatCode>#,##0.00</c:formatCode>
                <c:ptCount val="25"/>
                <c:pt idx="0">
                  <c:v>0.5</c:v>
                </c:pt>
                <c:pt idx="1">
                  <c:v>1</c:v>
                </c:pt>
                <c:pt idx="2">
                  <c:v>1.5</c:v>
                </c:pt>
                <c:pt idx="3" formatCode="#,##0.0">
                  <c:v>3</c:v>
                </c:pt>
                <c:pt idx="4" formatCode="#,##0.0">
                  <c:v>5</c:v>
                </c:pt>
                <c:pt idx="5" formatCode="#,##0">
                  <c:v>10</c:v>
                </c:pt>
                <c:pt idx="6" formatCode="#,##0">
                  <c:v>25</c:v>
                </c:pt>
                <c:pt idx="7" formatCode="#,##0">
                  <c:v>50</c:v>
                </c:pt>
                <c:pt idx="8" formatCode="#,##0">
                  <c:v>75</c:v>
                </c:pt>
                <c:pt idx="9" formatCode="#,##0">
                  <c:v>100</c:v>
                </c:pt>
                <c:pt idx="10" formatCode="#,##0">
                  <c:v>150</c:v>
                </c:pt>
                <c:pt idx="11" formatCode="#,##0">
                  <c:v>250</c:v>
                </c:pt>
                <c:pt idx="12" formatCode="#,##0">
                  <c:v>500</c:v>
                </c:pt>
                <c:pt idx="13" formatCode="#,##0">
                  <c:v>1000</c:v>
                </c:pt>
                <c:pt idx="14" formatCode="#,##0">
                  <c:v>1500</c:v>
                </c:pt>
                <c:pt idx="15" formatCode="#,##0">
                  <c:v>2000</c:v>
                </c:pt>
                <c:pt idx="16" formatCode="#,##0">
                  <c:v>3000</c:v>
                </c:pt>
                <c:pt idx="17" formatCode="#,##0">
                  <c:v>3500</c:v>
                </c:pt>
                <c:pt idx="18" formatCode="#,##0">
                  <c:v>4000</c:v>
                </c:pt>
                <c:pt idx="19" formatCode="#,##0">
                  <c:v>4500</c:v>
                </c:pt>
                <c:pt idx="20" formatCode="#,##0">
                  <c:v>5000</c:v>
                </c:pt>
                <c:pt idx="21" formatCode="#,##0">
                  <c:v>5500</c:v>
                </c:pt>
                <c:pt idx="22" formatCode="#,##0">
                  <c:v>6000</c:v>
                </c:pt>
                <c:pt idx="23" formatCode="#,##0">
                  <c:v>7000</c:v>
                </c:pt>
                <c:pt idx="24" formatCode="#,##0">
                  <c:v>7500</c:v>
                </c:pt>
              </c:numCache>
            </c:numRef>
          </c:cat>
          <c:val>
            <c:numRef>
              <c:f>'Grupo 3'!$AZ$10:$AZ$34</c:f>
              <c:numCache>
                <c:formatCode>#,##0.00\ "€"</c:formatCode>
                <c:ptCount val="25"/>
                <c:pt idx="0">
                  <c:v>-29.585343341575083</c:v>
                </c:pt>
                <c:pt idx="1">
                  <c:v>-34.966686683150158</c:v>
                </c:pt>
                <c:pt idx="2">
                  <c:v>-40.348030024725233</c:v>
                </c:pt>
                <c:pt idx="3">
                  <c:v>-56.492060049450473</c:v>
                </c:pt>
                <c:pt idx="4">
                  <c:v>-43.939355537006065</c:v>
                </c:pt>
                <c:pt idx="5">
                  <c:v>-59.998711074012078</c:v>
                </c:pt>
                <c:pt idx="6">
                  <c:v>-18.783480072715633</c:v>
                </c:pt>
                <c:pt idx="7">
                  <c:v>-135.33096014543116</c:v>
                </c:pt>
                <c:pt idx="8">
                  <c:v>-30.128575244220883</c:v>
                </c:pt>
                <c:pt idx="9">
                  <c:v>-4.8474336589615632</c:v>
                </c:pt>
                <c:pt idx="10">
                  <c:v>190.46484951155799</c:v>
                </c:pt>
                <c:pt idx="11">
                  <c:v>602.08941585259527</c:v>
                </c:pt>
                <c:pt idx="12">
                  <c:v>3836.1246561195476</c:v>
                </c:pt>
                <c:pt idx="13">
                  <c:v>5980.7413122390972</c:v>
                </c:pt>
                <c:pt idx="14">
                  <c:v>8125.3579683586431</c:v>
                </c:pt>
                <c:pt idx="15">
                  <c:v>8949.6593397585166</c:v>
                </c:pt>
                <c:pt idx="16">
                  <c:v>7245.1970096377772</c:v>
                </c:pt>
                <c:pt idx="17">
                  <c:v>6392.9658445774112</c:v>
                </c:pt>
                <c:pt idx="18">
                  <c:v>5540.7346795170306</c:v>
                </c:pt>
                <c:pt idx="19">
                  <c:v>4688.50351445665</c:v>
                </c:pt>
                <c:pt idx="20">
                  <c:v>-1275.3625954875024</c:v>
                </c:pt>
                <c:pt idx="21">
                  <c:v>-39383.168201047534</c:v>
                </c:pt>
                <c:pt idx="22">
                  <c:v>-42875.125310233678</c:v>
                </c:pt>
                <c:pt idx="23">
                  <c:v>-49859.039528605965</c:v>
                </c:pt>
                <c:pt idx="24">
                  <c:v>-53350.996637792094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CF2-45C5-9B12-F4A27987A0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8"/>
        <c:overlap val="-100"/>
        <c:axId val="184680832"/>
        <c:axId val="184682752"/>
      </c:barChart>
      <c:catAx>
        <c:axId val="1846808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rgbClr val="0070C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es-ES" sz="1400">
                    <a:solidFill>
                      <a:srgbClr val="0070C0"/>
                    </a:solidFill>
                  </a:rPr>
                  <a:t>Consumo</a:t>
                </a:r>
                <a:r>
                  <a:rPr lang="es-ES" sz="1400" baseline="0">
                    <a:solidFill>
                      <a:srgbClr val="0070C0"/>
                    </a:solidFill>
                  </a:rPr>
                  <a:t> MWh/año</a:t>
                </a:r>
                <a:endParaRPr lang="es-ES" sz="1400">
                  <a:solidFill>
                    <a:srgbClr val="0070C0"/>
                  </a:solidFill>
                </a:endParaRPr>
              </a:p>
            </c:rich>
          </c:tx>
          <c:layout>
            <c:manualLayout>
              <c:xMode val="edge"/>
              <c:yMode val="edge"/>
              <c:x val="0.43311625440759305"/>
              <c:y val="0.91666652068936316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.00" sourceLinked="1"/>
        <c:majorTickMark val="cross"/>
        <c:minorTickMark val="none"/>
        <c:tickLblPos val="low"/>
        <c:spPr>
          <a:noFill/>
          <a:ln w="15875" cap="flat" cmpd="sng" algn="ctr">
            <a:solidFill>
              <a:srgbClr val="002060"/>
            </a:solidFill>
            <a:round/>
          </a:ln>
          <a:effectLst/>
        </c:spPr>
        <c:txPr>
          <a:bodyPr rot="-4140000" spcFirstLastPara="1" vertOverflow="ellipsis" wrap="square" anchor="ctr" anchorCtr="1"/>
          <a:lstStyle/>
          <a:p>
            <a:pPr>
              <a:defRPr sz="1400" b="0" i="0" u="none" strike="noStrike" kern="1200" baseline="0">
                <a:solidFill>
                  <a:srgbClr val="0070C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s-ES"/>
          </a:p>
        </c:txPr>
        <c:crossAx val="184682752"/>
        <c:crossesAt val="0"/>
        <c:auto val="1"/>
        <c:lblAlgn val="ctr"/>
        <c:lblOffset val="100"/>
        <c:noMultiLvlLbl val="0"/>
      </c:catAx>
      <c:valAx>
        <c:axId val="1846827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lgDash"/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75000"/>
                    <a:lumOff val="2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s-ES"/>
          </a:p>
        </c:txPr>
        <c:crossAx val="184680832"/>
        <c:crosses val="autoZero"/>
        <c:crossBetween val="between"/>
        <c:dispUnits>
          <c:builtInUnit val="thousands"/>
          <c:dispUnitsLbl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r>
                    <a:rPr lang="es-ES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</a:rPr>
                    <a:t>Miles</a:t>
                  </a:r>
                  <a:r>
                    <a:rPr lang="es-ES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</a:rPr>
                    <a:t> euros</a:t>
                  </a:r>
                  <a:endParaRPr lang="es-ES">
                    <a:solidFill>
                      <a:schemeClr val="tx1">
                        <a:lumMod val="75000"/>
                        <a:lumOff val="25000"/>
                      </a:schemeClr>
                    </a:solidFill>
                  </a:endParaRPr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Arial Narrow" panose="020B060602020203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75000"/>
                    <a:lumOff val="25000"/>
                  </a:schemeClr>
                </a:solidFill>
                <a:latin typeface="Arial Rounded MT Bold" panose="020F0704030504030204" pitchFamily="34" charset="0"/>
                <a:ea typeface="+mn-ea"/>
                <a:cs typeface="+mn-cs"/>
              </a:defRPr>
            </a:pPr>
            <a:r>
              <a:rPr lang="en-US">
                <a:solidFill>
                  <a:schemeClr val="tx1">
                    <a:lumMod val="75000"/>
                    <a:lumOff val="25000"/>
                  </a:schemeClr>
                </a:solidFill>
                <a:latin typeface="Arial Rounded MT Bold" panose="020F0704030504030204" pitchFamily="34" charset="0"/>
              </a:rPr>
              <a:t>€/MWh</a:t>
            </a:r>
            <a:r>
              <a:rPr lang="en-US" baseline="0">
                <a:solidFill>
                  <a:schemeClr val="tx1">
                    <a:lumMod val="75000"/>
                    <a:lumOff val="25000"/>
                  </a:schemeClr>
                </a:solidFill>
                <a:latin typeface="Arial Rounded MT Bold" panose="020F0704030504030204" pitchFamily="34" charset="0"/>
              </a:rPr>
              <a:t> Peajes ATR</a:t>
            </a:r>
            <a:r>
              <a:rPr lang="en-US">
                <a:solidFill>
                  <a:schemeClr val="tx1">
                    <a:lumMod val="75000"/>
                    <a:lumOff val="25000"/>
                  </a:schemeClr>
                </a:solidFill>
                <a:latin typeface="Arial Rounded MT Bold" panose="020F0704030504030204" pitchFamily="34" charset="0"/>
              </a:rPr>
              <a:t> Grupo 3 (excepto</a:t>
            </a:r>
            <a:r>
              <a:rPr lang="en-US" baseline="0">
                <a:solidFill>
                  <a:schemeClr val="tx1">
                    <a:lumMod val="75000"/>
                    <a:lumOff val="25000"/>
                  </a:schemeClr>
                </a:solidFill>
                <a:latin typeface="Arial Rounded MT Bold" panose="020F0704030504030204" pitchFamily="34" charset="0"/>
              </a:rPr>
              <a:t> 3.5)</a:t>
            </a:r>
            <a:endParaRPr lang="en-US">
              <a:solidFill>
                <a:schemeClr val="tx1">
                  <a:lumMod val="75000"/>
                  <a:lumOff val="25000"/>
                </a:schemeClr>
              </a:solidFill>
              <a:latin typeface="Arial Rounded MT Bold" panose="020F0704030504030204" pitchFamily="34" charset="0"/>
            </a:endParaRPr>
          </a:p>
        </c:rich>
      </c:tx>
      <c:layout>
        <c:manualLayout>
          <c:xMode val="edge"/>
          <c:yMode val="edge"/>
          <c:x val="0.2714257302222986"/>
          <c:y val="2.5900534811665165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ATR Actual</c:v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bg1"/>
              </a:solidFill>
              <a:ln w="9525">
                <a:solidFill>
                  <a:srgbClr val="0070C0"/>
                </a:solidFill>
              </a:ln>
              <a:effectLst/>
            </c:spPr>
          </c:marker>
          <c:cat>
            <c:numRef>
              <c:f>'Grupo 3'!$B$10:$B$34</c:f>
              <c:numCache>
                <c:formatCode>#,##0.00</c:formatCode>
                <c:ptCount val="25"/>
                <c:pt idx="0">
                  <c:v>0.5</c:v>
                </c:pt>
                <c:pt idx="1">
                  <c:v>1</c:v>
                </c:pt>
                <c:pt idx="2">
                  <c:v>1.5</c:v>
                </c:pt>
                <c:pt idx="3" formatCode="#,##0.0">
                  <c:v>3</c:v>
                </c:pt>
                <c:pt idx="4" formatCode="#,##0.0">
                  <c:v>5</c:v>
                </c:pt>
                <c:pt idx="5" formatCode="#,##0">
                  <c:v>10</c:v>
                </c:pt>
                <c:pt idx="6" formatCode="#,##0">
                  <c:v>25</c:v>
                </c:pt>
                <c:pt idx="7" formatCode="#,##0">
                  <c:v>50</c:v>
                </c:pt>
                <c:pt idx="8" formatCode="#,##0">
                  <c:v>75</c:v>
                </c:pt>
                <c:pt idx="9" formatCode="#,##0">
                  <c:v>100</c:v>
                </c:pt>
                <c:pt idx="10" formatCode="#,##0">
                  <c:v>150</c:v>
                </c:pt>
                <c:pt idx="11" formatCode="#,##0">
                  <c:v>250</c:v>
                </c:pt>
                <c:pt idx="12" formatCode="#,##0">
                  <c:v>500</c:v>
                </c:pt>
                <c:pt idx="13" formatCode="#,##0">
                  <c:v>1000</c:v>
                </c:pt>
                <c:pt idx="14" formatCode="#,##0">
                  <c:v>1500</c:v>
                </c:pt>
                <c:pt idx="15" formatCode="#,##0">
                  <c:v>2000</c:v>
                </c:pt>
                <c:pt idx="16" formatCode="#,##0">
                  <c:v>3000</c:v>
                </c:pt>
                <c:pt idx="17" formatCode="#,##0">
                  <c:v>3500</c:v>
                </c:pt>
                <c:pt idx="18" formatCode="#,##0">
                  <c:v>4000</c:v>
                </c:pt>
                <c:pt idx="19" formatCode="#,##0">
                  <c:v>4500</c:v>
                </c:pt>
                <c:pt idx="20" formatCode="#,##0">
                  <c:v>5000</c:v>
                </c:pt>
                <c:pt idx="21" formatCode="#,##0">
                  <c:v>5500</c:v>
                </c:pt>
                <c:pt idx="22" formatCode="#,##0">
                  <c:v>6000</c:v>
                </c:pt>
                <c:pt idx="23" formatCode="#,##0">
                  <c:v>7000</c:v>
                </c:pt>
                <c:pt idx="24" formatCode="#,##0">
                  <c:v>7500</c:v>
                </c:pt>
              </c:numCache>
            </c:numRef>
          </c:cat>
          <c:val>
            <c:numRef>
              <c:f>'Grupo 3'!$S$10:$S$34</c:f>
              <c:numCache>
                <c:formatCode>0.00</c:formatCode>
                <c:ptCount val="25"/>
                <c:pt idx="0">
                  <c:v>92.56479615719303</c:v>
                </c:pt>
                <c:pt idx="1">
                  <c:v>62.204796157193016</c:v>
                </c:pt>
                <c:pt idx="2">
                  <c:v>52.084796157193011</c:v>
                </c:pt>
                <c:pt idx="3">
                  <c:v>41.964796157193014</c:v>
                </c:pt>
                <c:pt idx="4">
                  <c:v>38.155851071602989</c:v>
                </c:pt>
                <c:pt idx="5">
                  <c:v>32.157851071602991</c:v>
                </c:pt>
                <c:pt idx="6">
                  <c:v>28.075413008419265</c:v>
                </c:pt>
                <c:pt idx="7">
                  <c:v>26.685813008419263</c:v>
                </c:pt>
                <c:pt idx="8">
                  <c:v>27.235063562397379</c:v>
                </c:pt>
                <c:pt idx="9">
                  <c:v>25.066263562397381</c:v>
                </c:pt>
                <c:pt idx="10">
                  <c:v>21.932463562397377</c:v>
                </c:pt>
                <c:pt idx="11">
                  <c:v>19.341423562397381</c:v>
                </c:pt>
                <c:pt idx="12">
                  <c:v>17.457939335374679</c:v>
                </c:pt>
                <c:pt idx="13">
                  <c:v>16.486299335374675</c:v>
                </c:pt>
                <c:pt idx="14">
                  <c:v>16.162419335374675</c:v>
                </c:pt>
                <c:pt idx="15">
                  <c:v>15.762487602142773</c:v>
                </c:pt>
                <c:pt idx="16">
                  <c:v>15.600547602142775</c:v>
                </c:pt>
                <c:pt idx="17">
                  <c:v>15.5542790307142</c:v>
                </c:pt>
                <c:pt idx="18">
                  <c:v>15.519577602142773</c:v>
                </c:pt>
                <c:pt idx="19">
                  <c:v>15.492587602142775</c:v>
                </c:pt>
                <c:pt idx="20">
                  <c:v>14.500474655922641</c:v>
                </c:pt>
                <c:pt idx="21">
                  <c:v>14.482808474104459</c:v>
                </c:pt>
                <c:pt idx="22">
                  <c:v>14.468086655922644</c:v>
                </c:pt>
                <c:pt idx="23">
                  <c:v>14.444952370208357</c:v>
                </c:pt>
                <c:pt idx="24">
                  <c:v>14.435698655922643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E39D-479B-AF71-BD9D74594328}"/>
            </c:ext>
          </c:extLst>
        </c:ser>
        <c:ser>
          <c:idx val="1"/>
          <c:order val="1"/>
          <c:tx>
            <c:v>ATR Circular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bg1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'Grupo 3'!$B$10:$B$34</c:f>
              <c:numCache>
                <c:formatCode>#,##0.00</c:formatCode>
                <c:ptCount val="25"/>
                <c:pt idx="0">
                  <c:v>0.5</c:v>
                </c:pt>
                <c:pt idx="1">
                  <c:v>1</c:v>
                </c:pt>
                <c:pt idx="2">
                  <c:v>1.5</c:v>
                </c:pt>
                <c:pt idx="3" formatCode="#,##0.0">
                  <c:v>3</c:v>
                </c:pt>
                <c:pt idx="4" formatCode="#,##0.0">
                  <c:v>5</c:v>
                </c:pt>
                <c:pt idx="5" formatCode="#,##0">
                  <c:v>10</c:v>
                </c:pt>
                <c:pt idx="6" formatCode="#,##0">
                  <c:v>25</c:v>
                </c:pt>
                <c:pt idx="7" formatCode="#,##0">
                  <c:v>50</c:v>
                </c:pt>
                <c:pt idx="8" formatCode="#,##0">
                  <c:v>75</c:v>
                </c:pt>
                <c:pt idx="9" formatCode="#,##0">
                  <c:v>100</c:v>
                </c:pt>
                <c:pt idx="10" formatCode="#,##0">
                  <c:v>150</c:v>
                </c:pt>
                <c:pt idx="11" formatCode="#,##0">
                  <c:v>250</c:v>
                </c:pt>
                <c:pt idx="12" formatCode="#,##0">
                  <c:v>500</c:v>
                </c:pt>
                <c:pt idx="13" formatCode="#,##0">
                  <c:v>1000</c:v>
                </c:pt>
                <c:pt idx="14" formatCode="#,##0">
                  <c:v>1500</c:v>
                </c:pt>
                <c:pt idx="15" formatCode="#,##0">
                  <c:v>2000</c:v>
                </c:pt>
                <c:pt idx="16" formatCode="#,##0">
                  <c:v>3000</c:v>
                </c:pt>
                <c:pt idx="17" formatCode="#,##0">
                  <c:v>3500</c:v>
                </c:pt>
                <c:pt idx="18" formatCode="#,##0">
                  <c:v>4000</c:v>
                </c:pt>
                <c:pt idx="19" formatCode="#,##0">
                  <c:v>4500</c:v>
                </c:pt>
                <c:pt idx="20" formatCode="#,##0">
                  <c:v>5000</c:v>
                </c:pt>
                <c:pt idx="21" formatCode="#,##0">
                  <c:v>5500</c:v>
                </c:pt>
                <c:pt idx="22" formatCode="#,##0">
                  <c:v>6000</c:v>
                </c:pt>
                <c:pt idx="23" formatCode="#,##0">
                  <c:v>7000</c:v>
                </c:pt>
                <c:pt idx="24" formatCode="#,##0">
                  <c:v>7500</c:v>
                </c:pt>
              </c:numCache>
            </c:numRef>
          </c:cat>
          <c:val>
            <c:numRef>
              <c:f>'Grupo 3'!$AU$10:$AU$34</c:f>
              <c:numCache>
                <c:formatCode>0.00</c:formatCode>
                <c:ptCount val="25"/>
                <c:pt idx="0">
                  <c:v>33.394109474042864</c:v>
                </c:pt>
                <c:pt idx="1">
                  <c:v>27.238109474042858</c:v>
                </c:pt>
                <c:pt idx="2">
                  <c:v>25.186109474042855</c:v>
                </c:pt>
                <c:pt idx="3">
                  <c:v>23.134109474042859</c:v>
                </c:pt>
                <c:pt idx="4">
                  <c:v>29.367979964201776</c:v>
                </c:pt>
                <c:pt idx="5">
                  <c:v>26.157979964201779</c:v>
                </c:pt>
                <c:pt idx="6">
                  <c:v>27.32407380551064</c:v>
                </c:pt>
                <c:pt idx="7">
                  <c:v>23.97919380551064</c:v>
                </c:pt>
                <c:pt idx="8">
                  <c:v>26.833349225807765</c:v>
                </c:pt>
                <c:pt idx="9">
                  <c:v>25.017789225807764</c:v>
                </c:pt>
                <c:pt idx="10">
                  <c:v>23.202229225807763</c:v>
                </c:pt>
                <c:pt idx="11">
                  <c:v>21.749781225807762</c:v>
                </c:pt>
                <c:pt idx="12">
                  <c:v>25.130188647613775</c:v>
                </c:pt>
                <c:pt idx="13">
                  <c:v>22.467040647613771</c:v>
                </c:pt>
                <c:pt idx="14">
                  <c:v>21.57932464761377</c:v>
                </c:pt>
                <c:pt idx="15">
                  <c:v>20.237317272022032</c:v>
                </c:pt>
                <c:pt idx="16">
                  <c:v>18.015613272022033</c:v>
                </c:pt>
                <c:pt idx="17">
                  <c:v>17.38084070059346</c:v>
                </c:pt>
                <c:pt idx="18">
                  <c:v>16.904761272022032</c:v>
                </c:pt>
                <c:pt idx="19">
                  <c:v>16.534477272022031</c:v>
                </c:pt>
                <c:pt idx="20">
                  <c:v>14.245402136825142</c:v>
                </c:pt>
                <c:pt idx="21">
                  <c:v>7.3222324375503627</c:v>
                </c:pt>
                <c:pt idx="22">
                  <c:v>7.3222324375503645</c:v>
                </c:pt>
                <c:pt idx="23">
                  <c:v>7.3222324375503627</c:v>
                </c:pt>
                <c:pt idx="24">
                  <c:v>7.3222324375503636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39D-479B-AF71-BD9D745943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729600"/>
        <c:axId val="184731904"/>
      </c:lineChart>
      <c:catAx>
        <c:axId val="18472960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rgbClr val="0070C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es-ES" sz="1400">
                    <a:solidFill>
                      <a:srgbClr val="0070C0"/>
                    </a:solidFill>
                  </a:rPr>
                  <a:t>Consumo MWh/año</a:t>
                </a:r>
              </a:p>
            </c:rich>
          </c:tx>
          <c:layout>
            <c:manualLayout>
              <c:xMode val="edge"/>
              <c:yMode val="edge"/>
              <c:x val="0.38433481959333399"/>
              <c:y val="0.90283633900601135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.00" sourceLinked="1"/>
        <c:majorTickMark val="cross"/>
        <c:minorTickMark val="none"/>
        <c:tickLblPos val="low"/>
        <c:spPr>
          <a:noFill/>
          <a:ln w="12700" cap="flat" cmpd="sng" algn="ctr">
            <a:solidFill>
              <a:srgbClr val="002060"/>
            </a:solidFill>
            <a:round/>
          </a:ln>
          <a:effectLst/>
        </c:spPr>
        <c:txPr>
          <a:bodyPr rot="-4020000" spcFirstLastPara="1" vertOverflow="ellipsis" wrap="square" anchor="ctr" anchorCtr="1"/>
          <a:lstStyle/>
          <a:p>
            <a:pPr>
              <a:defRPr sz="1400" b="0" i="0" u="none" strike="noStrike" kern="1200" baseline="0">
                <a:solidFill>
                  <a:srgbClr val="0070C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s-ES"/>
          </a:p>
        </c:txPr>
        <c:crossAx val="184731904"/>
        <c:crossesAt val="0"/>
        <c:auto val="1"/>
        <c:lblAlgn val="ctr"/>
        <c:lblOffset val="100"/>
        <c:noMultiLvlLbl val="0"/>
      </c:catAx>
      <c:valAx>
        <c:axId val="1847319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lgDash"/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s-ES"/>
          </a:p>
        </c:txPr>
        <c:crossAx val="1847296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2973438793962573"/>
          <c:y val="0.1213857322066305"/>
          <c:w val="0.35376705208060244"/>
          <c:h val="7.107816765871018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Arial Narrow" panose="020B060602020203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75000"/>
                    <a:lumOff val="25000"/>
                  </a:schemeClr>
                </a:solidFill>
                <a:latin typeface="Arial Rounded MT Bold" panose="020F0704030504030204" pitchFamily="34" charset="0"/>
                <a:ea typeface="+mn-ea"/>
                <a:cs typeface="+mn-cs"/>
              </a:defRPr>
            </a:pPr>
            <a:r>
              <a:rPr lang="el-GR">
                <a:solidFill>
                  <a:schemeClr val="tx1">
                    <a:lumMod val="75000"/>
                    <a:lumOff val="25000"/>
                  </a:schemeClr>
                </a:solidFill>
              </a:rPr>
              <a:t>Δ</a:t>
            </a:r>
            <a:r>
              <a:rPr lang="en-US">
                <a:solidFill>
                  <a:schemeClr val="tx1">
                    <a:lumMod val="75000"/>
                    <a:lumOff val="25000"/>
                  </a:schemeClr>
                </a:solidFill>
                <a:latin typeface="Arial Rounded MT Bold" panose="020F0704030504030204" pitchFamily="34" charset="0"/>
              </a:rPr>
              <a:t> €</a:t>
            </a:r>
            <a:r>
              <a:rPr lang="en-US" baseline="0">
                <a:solidFill>
                  <a:schemeClr val="tx1">
                    <a:lumMod val="75000"/>
                    <a:lumOff val="25000"/>
                  </a:schemeClr>
                </a:solidFill>
                <a:latin typeface="Arial Rounded MT Bold" panose="020F0704030504030204" pitchFamily="34" charset="0"/>
              </a:rPr>
              <a:t> Peajes ATR</a:t>
            </a:r>
            <a:r>
              <a:rPr lang="en-US">
                <a:solidFill>
                  <a:schemeClr val="tx1">
                    <a:lumMod val="75000"/>
                    <a:lumOff val="25000"/>
                  </a:schemeClr>
                </a:solidFill>
                <a:latin typeface="Arial Rounded MT Bold" panose="020F0704030504030204" pitchFamily="34" charset="0"/>
              </a:rPr>
              <a:t> Grupo 2</a:t>
            </a:r>
          </a:p>
        </c:rich>
      </c:tx>
      <c:layout>
        <c:manualLayout>
          <c:xMode val="edge"/>
          <c:yMode val="edge"/>
          <c:x val="0.4034578859460749"/>
          <c:y val="2.224694104560623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'Grupo 2'!$AZ$9</c:f>
              <c:strCache>
                <c:ptCount val="1"/>
                <c:pt idx="0">
                  <c:v>D €/año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bg1"/>
              </a:solidFill>
              <a:ln w="9525">
                <a:solidFill>
                  <a:srgbClr val="C00000"/>
                </a:solidFill>
              </a:ln>
              <a:effectLst/>
            </c:spPr>
          </c:marker>
          <c:cat>
            <c:numRef>
              <c:f>'Grupo 2'!$B$10:$B$39</c:f>
              <c:numCache>
                <c:formatCode>#,##0</c:formatCode>
                <c:ptCount val="30"/>
                <c:pt idx="0">
                  <c:v>100</c:v>
                </c:pt>
                <c:pt idx="1">
                  <c:v>500</c:v>
                </c:pt>
                <c:pt idx="2">
                  <c:v>750</c:v>
                </c:pt>
                <c:pt idx="3">
                  <c:v>1000</c:v>
                </c:pt>
                <c:pt idx="4">
                  <c:v>1500</c:v>
                </c:pt>
                <c:pt idx="5">
                  <c:v>3000</c:v>
                </c:pt>
                <c:pt idx="6">
                  <c:v>4000</c:v>
                </c:pt>
                <c:pt idx="7">
                  <c:v>5000</c:v>
                </c:pt>
                <c:pt idx="8">
                  <c:v>7500</c:v>
                </c:pt>
                <c:pt idx="9">
                  <c:v>10000</c:v>
                </c:pt>
                <c:pt idx="10">
                  <c:v>15000</c:v>
                </c:pt>
                <c:pt idx="11">
                  <c:v>20000</c:v>
                </c:pt>
                <c:pt idx="12">
                  <c:v>25000</c:v>
                </c:pt>
                <c:pt idx="13">
                  <c:v>30000</c:v>
                </c:pt>
                <c:pt idx="14">
                  <c:v>35000</c:v>
                </c:pt>
                <c:pt idx="15">
                  <c:v>40000</c:v>
                </c:pt>
                <c:pt idx="16">
                  <c:v>50000</c:v>
                </c:pt>
                <c:pt idx="17">
                  <c:v>75000</c:v>
                </c:pt>
                <c:pt idx="18">
                  <c:v>100000</c:v>
                </c:pt>
                <c:pt idx="19">
                  <c:v>200000</c:v>
                </c:pt>
                <c:pt idx="20">
                  <c:v>250000</c:v>
                </c:pt>
                <c:pt idx="21">
                  <c:v>300000</c:v>
                </c:pt>
                <c:pt idx="22">
                  <c:v>350000</c:v>
                </c:pt>
                <c:pt idx="23">
                  <c:v>400000</c:v>
                </c:pt>
                <c:pt idx="24">
                  <c:v>450000</c:v>
                </c:pt>
                <c:pt idx="25">
                  <c:v>500000</c:v>
                </c:pt>
                <c:pt idx="26">
                  <c:v>700000</c:v>
                </c:pt>
                <c:pt idx="27">
                  <c:v>900000</c:v>
                </c:pt>
                <c:pt idx="28">
                  <c:v>1000000</c:v>
                </c:pt>
                <c:pt idx="29">
                  <c:v>2000000</c:v>
                </c:pt>
              </c:numCache>
            </c:numRef>
          </c:cat>
          <c:val>
            <c:numRef>
              <c:f>'Grupo 2'!$BA$10:$BA$39</c:f>
              <c:numCache>
                <c:formatCode>0%</c:formatCode>
                <c:ptCount val="30"/>
                <c:pt idx="0">
                  <c:v>0.74086954342815481</c:v>
                </c:pt>
                <c:pt idx="1">
                  <c:v>0.7400717518419444</c:v>
                </c:pt>
                <c:pt idx="2">
                  <c:v>2.7994825630643141</c:v>
                </c:pt>
                <c:pt idx="3">
                  <c:v>2.6378945930750963</c:v>
                </c:pt>
                <c:pt idx="4">
                  <c:v>2.4763066230858786</c:v>
                </c:pt>
                <c:pt idx="5">
                  <c:v>1.9165703044568076</c:v>
                </c:pt>
                <c:pt idx="6">
                  <c:v>1.7143656358032489</c:v>
                </c:pt>
                <c:pt idx="7">
                  <c:v>1.5930428346111132</c:v>
                </c:pt>
                <c:pt idx="8">
                  <c:v>0.70978057363293545</c:v>
                </c:pt>
                <c:pt idx="9">
                  <c:v>0.70978057363293512</c:v>
                </c:pt>
                <c:pt idx="10">
                  <c:v>0.70978057363293545</c:v>
                </c:pt>
                <c:pt idx="11">
                  <c:v>0.21798854130269649</c:v>
                </c:pt>
                <c:pt idx="12">
                  <c:v>0.21798854130269663</c:v>
                </c:pt>
                <c:pt idx="13">
                  <c:v>0.21798854130269638</c:v>
                </c:pt>
                <c:pt idx="14">
                  <c:v>0.30107056451329228</c:v>
                </c:pt>
                <c:pt idx="15">
                  <c:v>0.30107056451329217</c:v>
                </c:pt>
                <c:pt idx="16">
                  <c:v>0.30107056451329256</c:v>
                </c:pt>
                <c:pt idx="17">
                  <c:v>8.2575211390238726E-3</c:v>
                </c:pt>
                <c:pt idx="18">
                  <c:v>8.2575211390242109E-3</c:v>
                </c:pt>
                <c:pt idx="19">
                  <c:v>1.6232578643841165E-2</c:v>
                </c:pt>
                <c:pt idx="20">
                  <c:v>1.6232578643841106E-2</c:v>
                </c:pt>
                <c:pt idx="21">
                  <c:v>1.6232578643841273E-2</c:v>
                </c:pt>
                <c:pt idx="22">
                  <c:v>1.623257864384121E-2</c:v>
                </c:pt>
                <c:pt idx="23">
                  <c:v>1.6232578643841165E-2</c:v>
                </c:pt>
                <c:pt idx="24">
                  <c:v>1.6232578643840995E-2</c:v>
                </c:pt>
                <c:pt idx="25">
                  <c:v>1.6232578643841106E-2</c:v>
                </c:pt>
                <c:pt idx="26">
                  <c:v>-4.0788193784605069E-2</c:v>
                </c:pt>
                <c:pt idx="27">
                  <c:v>-4.0788193784605055E-2</c:v>
                </c:pt>
                <c:pt idx="28">
                  <c:v>-4.0788193784605103E-2</c:v>
                </c:pt>
                <c:pt idx="29">
                  <c:v>-4.0788193784605103E-2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2B80-4318-BDDE-BAA19CAF7B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2318592"/>
        <c:axId val="182657024"/>
      </c:lineChart>
      <c:catAx>
        <c:axId val="18231859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rgbClr val="0070C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es-ES" sz="1400">
                    <a:solidFill>
                      <a:srgbClr val="0070C0"/>
                    </a:solidFill>
                  </a:rPr>
                  <a:t>Consumo MWh/año</a:t>
                </a:r>
              </a:p>
            </c:rich>
          </c:tx>
          <c:layout>
            <c:manualLayout>
              <c:xMode val="edge"/>
              <c:yMode val="edge"/>
              <c:x val="0.38433481959333399"/>
              <c:y val="0.90283633900601135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" sourceLinked="1"/>
        <c:majorTickMark val="cross"/>
        <c:minorTickMark val="none"/>
        <c:tickLblPos val="low"/>
        <c:spPr>
          <a:noFill/>
          <a:ln w="12700" cap="flat" cmpd="sng" algn="ctr">
            <a:solidFill>
              <a:srgbClr val="002060"/>
            </a:solidFill>
            <a:round/>
          </a:ln>
          <a:effectLst/>
        </c:spPr>
        <c:txPr>
          <a:bodyPr rot="-4020000" spcFirstLastPara="1" vertOverflow="ellipsis" wrap="square" anchor="ctr" anchorCtr="1"/>
          <a:lstStyle/>
          <a:p>
            <a:pPr>
              <a:defRPr sz="1050" b="0" i="0" u="none" strike="noStrike" kern="1200" baseline="0">
                <a:solidFill>
                  <a:srgbClr val="0070C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s-ES"/>
          </a:p>
        </c:txPr>
        <c:crossAx val="182657024"/>
        <c:crossesAt val="0"/>
        <c:auto val="1"/>
        <c:lblAlgn val="ctr"/>
        <c:lblOffset val="100"/>
        <c:noMultiLvlLbl val="0"/>
      </c:catAx>
      <c:valAx>
        <c:axId val="182657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lgDash"/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75000"/>
                    <a:lumOff val="2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s-ES"/>
          </a:p>
        </c:txPr>
        <c:crossAx val="1823185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Arial Narrow" panose="020B060602020203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Rounded MT Bold" panose="020F0704030504030204" pitchFamily="34" charset="0"/>
                <a:ea typeface="+mn-ea"/>
                <a:cs typeface="+mn-cs"/>
              </a:defRPr>
            </a:pPr>
            <a:r>
              <a:rPr lang="el-GR" sz="1400">
                <a:solidFill>
                  <a:schemeClr val="tx1">
                    <a:lumMod val="65000"/>
                    <a:lumOff val="35000"/>
                  </a:schemeClr>
                </a:solidFill>
              </a:rPr>
              <a:t>Δ</a:t>
            </a:r>
            <a:r>
              <a:rPr lang="en-US" sz="1400">
                <a:solidFill>
                  <a:schemeClr val="tx1">
                    <a:lumMod val="65000"/>
                    <a:lumOff val="35000"/>
                  </a:schemeClr>
                </a:solidFill>
                <a:latin typeface="Arial Rounded MT Bold" panose="020F0704030504030204" pitchFamily="34" charset="0"/>
              </a:rPr>
              <a:t> €/MWh ATR Grupo 3 (excepto 3.5)</a:t>
            </a:r>
          </a:p>
        </c:rich>
      </c:tx>
      <c:layout>
        <c:manualLayout>
          <c:xMode val="edge"/>
          <c:yMode val="edge"/>
          <c:x val="0.3372784111376706"/>
          <c:y val="2.5331826056203235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7.6285065900999455E-2"/>
          <c:y val="0.13439356771614525"/>
          <c:w val="0.90346003173480682"/>
          <c:h val="0.6253819839365991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'Grupo 3'!$BB$9</c:f>
              <c:strCache>
                <c:ptCount val="1"/>
                <c:pt idx="0">
                  <c:v>D €/MWh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dPt>
            <c:idx val="10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7-E33F-4248-865A-5D9650A66FE5}"/>
              </c:ext>
            </c:extLst>
          </c:dPt>
          <c:dPt>
            <c:idx val="11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8-E33F-4248-865A-5D9650A66FE5}"/>
              </c:ext>
            </c:extLst>
          </c:dPt>
          <c:dPt>
            <c:idx val="12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E33F-4248-865A-5D9650A66FE5}"/>
              </c:ext>
            </c:extLst>
          </c:dPt>
          <c:dPt>
            <c:idx val="13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4-E33F-4248-865A-5D9650A66FE5}"/>
              </c:ext>
            </c:extLst>
          </c:dPt>
          <c:dPt>
            <c:idx val="14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E33F-4248-865A-5D9650A66FE5}"/>
              </c:ext>
            </c:extLst>
          </c:dPt>
          <c:dPt>
            <c:idx val="15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6-E33F-4248-865A-5D9650A66FE5}"/>
              </c:ext>
            </c:extLst>
          </c:dPt>
          <c:dPt>
            <c:idx val="16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9-E33F-4248-865A-5D9650A66FE5}"/>
              </c:ext>
            </c:extLst>
          </c:dPt>
          <c:dPt>
            <c:idx val="17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A-E33F-4248-865A-5D9650A66FE5}"/>
              </c:ext>
            </c:extLst>
          </c:dPt>
          <c:dPt>
            <c:idx val="18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B-E33F-4248-865A-5D9650A66FE5}"/>
              </c:ext>
            </c:extLst>
          </c:dPt>
          <c:dPt>
            <c:idx val="19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C-E33F-4248-865A-5D9650A66FE5}"/>
              </c:ext>
            </c:extLst>
          </c:dPt>
          <c:dPt>
            <c:idx val="21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E33F-4248-865A-5D9650A66FE5}"/>
              </c:ext>
            </c:extLst>
          </c:dPt>
          <c:dPt>
            <c:idx val="22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E33F-4248-865A-5D9650A66FE5}"/>
              </c:ext>
            </c:extLst>
          </c:dPt>
          <c:dPt>
            <c:idx val="23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E33F-4248-865A-5D9650A66FE5}"/>
              </c:ext>
            </c:extLst>
          </c:dPt>
          <c:dPt>
            <c:idx val="24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E33F-4248-865A-5D9650A66FE5}"/>
              </c:ext>
            </c:extLst>
          </c:dPt>
          <c:dPt>
            <c:idx val="31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E33F-4248-865A-5D9650A66FE5}"/>
              </c:ext>
            </c:extLst>
          </c:dPt>
          <c:dPt>
            <c:idx val="32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E33F-4248-865A-5D9650A66FE5}"/>
              </c:ext>
            </c:extLst>
          </c:dPt>
          <c:dPt>
            <c:idx val="33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E33F-4248-865A-5D9650A66FE5}"/>
              </c:ext>
            </c:extLst>
          </c:dPt>
          <c:dPt>
            <c:idx val="34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E33F-4248-865A-5D9650A66FE5}"/>
              </c:ext>
            </c:extLst>
          </c:dPt>
          <c:dPt>
            <c:idx val="35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E33F-4248-865A-5D9650A66FE5}"/>
              </c:ext>
            </c:extLst>
          </c:dPt>
          <c:dLbls>
            <c:dLbl>
              <c:idx val="10"/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0" i="0" u="none" strike="noStrike" kern="1200" baseline="0">
                      <a:solidFill>
                        <a:srgbClr val="C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0" i="0" u="none" strike="noStrike" kern="1200" baseline="0">
                      <a:solidFill>
                        <a:srgbClr val="C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2"/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0" i="0" u="none" strike="noStrike" kern="1200" baseline="0">
                      <a:solidFill>
                        <a:srgbClr val="C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3"/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0" i="0" u="none" strike="noStrike" kern="1200" baseline="0">
                      <a:solidFill>
                        <a:srgbClr val="C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4"/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0" i="0" u="none" strike="noStrike" kern="1200" baseline="0">
                      <a:solidFill>
                        <a:srgbClr val="C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5"/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0" i="0" u="none" strike="noStrike" kern="1200" baseline="0">
                      <a:solidFill>
                        <a:srgbClr val="C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6"/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0" i="0" u="none" strike="noStrike" kern="1200" baseline="0">
                      <a:solidFill>
                        <a:srgbClr val="C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7"/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0" i="0" u="none" strike="noStrike" kern="1200" baseline="0">
                      <a:solidFill>
                        <a:srgbClr val="C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8"/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0" i="0" u="none" strike="noStrike" kern="1200" baseline="0">
                      <a:solidFill>
                        <a:srgbClr val="C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9"/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0" i="0" u="none" strike="noStrike" kern="1200" baseline="0">
                      <a:solidFill>
                        <a:srgbClr val="C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rgbClr val="00B05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'Grupo 3'!$B$10:$B$34</c:f>
              <c:numCache>
                <c:formatCode>#,##0.00</c:formatCode>
                <c:ptCount val="25"/>
                <c:pt idx="0">
                  <c:v>0.5</c:v>
                </c:pt>
                <c:pt idx="1">
                  <c:v>1</c:v>
                </c:pt>
                <c:pt idx="2">
                  <c:v>1.5</c:v>
                </c:pt>
                <c:pt idx="3" formatCode="#,##0.0">
                  <c:v>3</c:v>
                </c:pt>
                <c:pt idx="4" formatCode="#,##0.0">
                  <c:v>5</c:v>
                </c:pt>
                <c:pt idx="5" formatCode="#,##0">
                  <c:v>10</c:v>
                </c:pt>
                <c:pt idx="6" formatCode="#,##0">
                  <c:v>25</c:v>
                </c:pt>
                <c:pt idx="7" formatCode="#,##0">
                  <c:v>50</c:v>
                </c:pt>
                <c:pt idx="8" formatCode="#,##0">
                  <c:v>75</c:v>
                </c:pt>
                <c:pt idx="9" formatCode="#,##0">
                  <c:v>100</c:v>
                </c:pt>
                <c:pt idx="10" formatCode="#,##0">
                  <c:v>150</c:v>
                </c:pt>
                <c:pt idx="11" formatCode="#,##0">
                  <c:v>250</c:v>
                </c:pt>
                <c:pt idx="12" formatCode="#,##0">
                  <c:v>500</c:v>
                </c:pt>
                <c:pt idx="13" formatCode="#,##0">
                  <c:v>1000</c:v>
                </c:pt>
                <c:pt idx="14" formatCode="#,##0">
                  <c:v>1500</c:v>
                </c:pt>
                <c:pt idx="15" formatCode="#,##0">
                  <c:v>2000</c:v>
                </c:pt>
                <c:pt idx="16" formatCode="#,##0">
                  <c:v>3000</c:v>
                </c:pt>
                <c:pt idx="17" formatCode="#,##0">
                  <c:v>3500</c:v>
                </c:pt>
                <c:pt idx="18" formatCode="#,##0">
                  <c:v>4000</c:v>
                </c:pt>
                <c:pt idx="19" formatCode="#,##0">
                  <c:v>4500</c:v>
                </c:pt>
                <c:pt idx="20" formatCode="#,##0">
                  <c:v>5000</c:v>
                </c:pt>
                <c:pt idx="21" formatCode="#,##0">
                  <c:v>5500</c:v>
                </c:pt>
                <c:pt idx="22" formatCode="#,##0">
                  <c:v>6000</c:v>
                </c:pt>
                <c:pt idx="23" formatCode="#,##0">
                  <c:v>7000</c:v>
                </c:pt>
                <c:pt idx="24" formatCode="#,##0">
                  <c:v>7500</c:v>
                </c:pt>
              </c:numCache>
            </c:numRef>
          </c:cat>
          <c:val>
            <c:numRef>
              <c:f>'Grupo 3'!$BB$10:$BB$34</c:f>
              <c:numCache>
                <c:formatCode>#,##0.00</c:formatCode>
                <c:ptCount val="25"/>
                <c:pt idx="0">
                  <c:v>-59.170686683150166</c:v>
                </c:pt>
                <c:pt idx="1">
                  <c:v>-34.966686683150158</c:v>
                </c:pt>
                <c:pt idx="2">
                  <c:v>-26.898686683150157</c:v>
                </c:pt>
                <c:pt idx="3">
                  <c:v>-18.830686683150155</c:v>
                </c:pt>
                <c:pt idx="4">
                  <c:v>-8.7878711074012124</c:v>
                </c:pt>
                <c:pt idx="5">
                  <c:v>-5.9998711074012121</c:v>
                </c:pt>
                <c:pt idx="6">
                  <c:v>-0.75133920290862477</c:v>
                </c:pt>
                <c:pt idx="7">
                  <c:v>-2.7066192029086231</c:v>
                </c:pt>
                <c:pt idx="8">
                  <c:v>-0.4017143365896132</c:v>
                </c:pt>
                <c:pt idx="9">
                  <c:v>-4.8474336589617195E-2</c:v>
                </c:pt>
                <c:pt idx="10">
                  <c:v>1.2697656634103858</c:v>
                </c:pt>
                <c:pt idx="11">
                  <c:v>2.4083576634103814</c:v>
                </c:pt>
                <c:pt idx="12">
                  <c:v>7.6722493122390958</c:v>
                </c:pt>
                <c:pt idx="13">
                  <c:v>5.9807413122390969</c:v>
                </c:pt>
                <c:pt idx="14">
                  <c:v>5.4169053122390949</c:v>
                </c:pt>
                <c:pt idx="15">
                  <c:v>4.4748296698792593</c:v>
                </c:pt>
                <c:pt idx="16">
                  <c:v>2.4150656698792581</c:v>
                </c:pt>
                <c:pt idx="17">
                  <c:v>1.8265616698792595</c:v>
                </c:pt>
                <c:pt idx="18">
                  <c:v>1.3851836698792592</c:v>
                </c:pt>
                <c:pt idx="19">
                  <c:v>1.0418896698792555</c:v>
                </c:pt>
                <c:pt idx="20">
                  <c:v>-0.2550725190974994</c:v>
                </c:pt>
                <c:pt idx="21">
                  <c:v>-7.1605760365540965</c:v>
                </c:pt>
                <c:pt idx="22">
                  <c:v>-7.1458542183722793</c:v>
                </c:pt>
                <c:pt idx="23">
                  <c:v>-7.1227199326579944</c:v>
                </c:pt>
                <c:pt idx="24">
                  <c:v>-7.1134662183722792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2-E33F-4248-865A-5D9650A66F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8"/>
        <c:overlap val="-100"/>
        <c:axId val="184035968"/>
        <c:axId val="84345600"/>
      </c:barChart>
      <c:catAx>
        <c:axId val="1840359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rgbClr val="0070C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es-ES" sz="1400">
                    <a:solidFill>
                      <a:srgbClr val="0070C0"/>
                    </a:solidFill>
                  </a:rPr>
                  <a:t>Consumo</a:t>
                </a:r>
                <a:r>
                  <a:rPr lang="es-ES" sz="1400" baseline="0">
                    <a:solidFill>
                      <a:srgbClr val="0070C0"/>
                    </a:solidFill>
                  </a:rPr>
                  <a:t> MWh/año</a:t>
                </a:r>
                <a:endParaRPr lang="es-ES" sz="1400">
                  <a:solidFill>
                    <a:srgbClr val="0070C0"/>
                  </a:solidFill>
                </a:endParaRPr>
              </a:p>
            </c:rich>
          </c:tx>
          <c:layout>
            <c:manualLayout>
              <c:xMode val="edge"/>
              <c:yMode val="edge"/>
              <c:x val="0.43311625440759305"/>
              <c:y val="0.91666652068936316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.00" sourceLinked="1"/>
        <c:majorTickMark val="cross"/>
        <c:minorTickMark val="none"/>
        <c:tickLblPos val="low"/>
        <c:spPr>
          <a:noFill/>
          <a:ln w="15875" cap="flat" cmpd="sng" algn="ctr">
            <a:solidFill>
              <a:srgbClr val="002060"/>
            </a:solidFill>
            <a:round/>
          </a:ln>
          <a:effectLst/>
        </c:spPr>
        <c:txPr>
          <a:bodyPr rot="-4140000" spcFirstLastPara="1" vertOverflow="ellipsis" wrap="square" anchor="ctr" anchorCtr="1"/>
          <a:lstStyle/>
          <a:p>
            <a:pPr>
              <a:defRPr sz="1400" b="0" i="0" u="none" strike="noStrike" kern="1200" baseline="0">
                <a:solidFill>
                  <a:srgbClr val="0070C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s-ES"/>
          </a:p>
        </c:txPr>
        <c:crossAx val="84345600"/>
        <c:crossesAt val="0"/>
        <c:auto val="1"/>
        <c:lblAlgn val="ctr"/>
        <c:lblOffset val="100"/>
        <c:noMultiLvlLbl val="0"/>
      </c:catAx>
      <c:valAx>
        <c:axId val="8434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lgDash"/>
              <a:round/>
            </a:ln>
            <a:effectLst/>
          </c:spPr>
        </c:majorGridlines>
        <c:numFmt formatCode="#,##0\ &quot;€&quot;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75000"/>
                    <a:lumOff val="2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s-ES"/>
          </a:p>
        </c:txPr>
        <c:crossAx val="1840359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Arial Narrow" panose="020B060602020203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75000"/>
                    <a:lumOff val="25000"/>
                  </a:schemeClr>
                </a:solidFill>
                <a:latin typeface="Arial Rounded MT Bold" panose="020F0704030504030204" pitchFamily="34" charset="0"/>
                <a:ea typeface="+mn-ea"/>
                <a:cs typeface="+mn-cs"/>
              </a:defRPr>
            </a:pPr>
            <a:r>
              <a:rPr lang="el-GR">
                <a:solidFill>
                  <a:schemeClr val="tx1">
                    <a:lumMod val="75000"/>
                    <a:lumOff val="25000"/>
                  </a:schemeClr>
                </a:solidFill>
              </a:rPr>
              <a:t>Δ</a:t>
            </a:r>
            <a:r>
              <a:rPr lang="en-US">
                <a:solidFill>
                  <a:schemeClr val="tx1">
                    <a:lumMod val="75000"/>
                    <a:lumOff val="25000"/>
                  </a:schemeClr>
                </a:solidFill>
                <a:latin typeface="Arial Rounded MT Bold" panose="020F0704030504030204" pitchFamily="34" charset="0"/>
              </a:rPr>
              <a:t> €</a:t>
            </a:r>
            <a:r>
              <a:rPr lang="en-US" baseline="0">
                <a:solidFill>
                  <a:schemeClr val="tx1">
                    <a:lumMod val="75000"/>
                    <a:lumOff val="25000"/>
                  </a:schemeClr>
                </a:solidFill>
                <a:latin typeface="Arial Rounded MT Bold" panose="020F0704030504030204" pitchFamily="34" charset="0"/>
              </a:rPr>
              <a:t> ATR</a:t>
            </a:r>
            <a:r>
              <a:rPr lang="en-US">
                <a:solidFill>
                  <a:schemeClr val="tx1">
                    <a:lumMod val="75000"/>
                    <a:lumOff val="25000"/>
                  </a:schemeClr>
                </a:solidFill>
                <a:latin typeface="Arial Rounded MT Bold" panose="020F0704030504030204" pitchFamily="34" charset="0"/>
              </a:rPr>
              <a:t> Grupo 3 Promedio</a:t>
            </a:r>
            <a:r>
              <a:rPr lang="en-US" baseline="0">
                <a:solidFill>
                  <a:schemeClr val="tx1">
                    <a:lumMod val="75000"/>
                    <a:lumOff val="25000"/>
                  </a:schemeClr>
                </a:solidFill>
                <a:latin typeface="Arial Rounded MT Bold" panose="020F0704030504030204" pitchFamily="34" charset="0"/>
              </a:rPr>
              <a:t> (excepto 3.5)</a:t>
            </a:r>
            <a:endParaRPr lang="en-US">
              <a:solidFill>
                <a:schemeClr val="tx1">
                  <a:lumMod val="75000"/>
                  <a:lumOff val="25000"/>
                </a:schemeClr>
              </a:solidFill>
              <a:latin typeface="Arial Rounded MT Bold" panose="020F0704030504030204" pitchFamily="34" charset="0"/>
            </a:endParaRPr>
          </a:p>
        </c:rich>
      </c:tx>
      <c:layout>
        <c:manualLayout>
          <c:xMode val="edge"/>
          <c:yMode val="edge"/>
          <c:x val="0.28810899102728432"/>
          <c:y val="2.533181990309739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'Grupo 3 Promedio'!$AZ$9</c:f>
              <c:strCache>
                <c:ptCount val="1"/>
                <c:pt idx="0">
                  <c:v>D €/año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bg1"/>
              </a:solidFill>
              <a:ln w="9525">
                <a:solidFill>
                  <a:srgbClr val="C00000"/>
                </a:solidFill>
              </a:ln>
              <a:effectLst/>
            </c:spPr>
          </c:marker>
          <c:dLbls>
            <c:dLbl>
              <c:idx val="0"/>
              <c:spPr/>
              <c:txPr>
                <a:bodyPr/>
                <a:lstStyle/>
                <a:p>
                  <a:pPr>
                    <a:defRPr sz="1400">
                      <a:solidFill>
                        <a:srgbClr val="00B050"/>
                      </a:solidFill>
                    </a:defRPr>
                  </a:pPr>
                  <a:endParaRPr lang="es-E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spPr/>
              <c:txPr>
                <a:bodyPr/>
                <a:lstStyle/>
                <a:p>
                  <a:pPr>
                    <a:defRPr sz="1400">
                      <a:solidFill>
                        <a:srgbClr val="00B050"/>
                      </a:solidFill>
                    </a:defRPr>
                  </a:pPr>
                  <a:endParaRPr lang="es-E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2.7004074642455855E-2"/>
                  <c:y val="5.1608919086211048E-2"/>
                </c:manualLayout>
              </c:layout>
              <c:spPr/>
              <c:txPr>
                <a:bodyPr/>
                <a:lstStyle/>
                <a:p>
                  <a:pPr>
                    <a:defRPr sz="1400">
                      <a:solidFill>
                        <a:srgbClr val="00B050"/>
                      </a:solidFill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7D8-4C17-8CF4-4199105E33FB}"/>
                </c:ext>
              </c:extLst>
            </c:dLbl>
            <c:dLbl>
              <c:idx val="3"/>
              <c:spPr/>
              <c:txPr>
                <a:bodyPr/>
                <a:lstStyle/>
                <a:p>
                  <a:pPr>
                    <a:defRPr sz="1400">
                      <a:solidFill>
                        <a:srgbClr val="C00000"/>
                      </a:solidFill>
                    </a:defRPr>
                  </a:pPr>
                  <a:endParaRPr lang="es-E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/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'Grupo 3 Promedio'!$E$10:$E$13</c:f>
              <c:strCache>
                <c:ptCount val="4"/>
                <c:pt idx="0">
                  <c:v>3.1</c:v>
                </c:pt>
                <c:pt idx="1">
                  <c:v>3.2</c:v>
                </c:pt>
                <c:pt idx="2">
                  <c:v>3.3</c:v>
                </c:pt>
                <c:pt idx="3">
                  <c:v>3.4</c:v>
                </c:pt>
              </c:strCache>
            </c:strRef>
          </c:cat>
          <c:val>
            <c:numRef>
              <c:f>'Grupo 3 Promedio'!$BA$10:$BA$13</c:f>
              <c:numCache>
                <c:formatCode>0%</c:formatCode>
                <c:ptCount val="4"/>
                <c:pt idx="0">
                  <c:v>-0.45652237840614124</c:v>
                </c:pt>
                <c:pt idx="1">
                  <c:v>-0.18796969612546355</c:v>
                </c:pt>
                <c:pt idx="2">
                  <c:v>-1.7129556616728023E-2</c:v>
                </c:pt>
                <c:pt idx="3">
                  <c:v>0.44705043696509278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F778-4FCE-9B68-D98C9A91A5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709376"/>
        <c:axId val="84711296"/>
      </c:lineChart>
      <c:catAx>
        <c:axId val="847093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rgbClr val="0070C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es-ES" sz="1400">
                    <a:solidFill>
                      <a:srgbClr val="0070C0"/>
                    </a:solidFill>
                  </a:rPr>
                  <a:t>Peaje Grupo 3</a:t>
                </a:r>
              </a:p>
            </c:rich>
          </c:tx>
          <c:layout>
            <c:manualLayout>
              <c:xMode val="edge"/>
              <c:yMode val="edge"/>
              <c:x val="0.39735813953488375"/>
              <c:y val="0.92443010145698834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cross"/>
        <c:minorTickMark val="none"/>
        <c:tickLblPos val="low"/>
        <c:spPr>
          <a:noFill/>
          <a:ln w="12700" cap="flat" cmpd="sng" algn="ctr">
            <a:solidFill>
              <a:srgbClr val="002060"/>
            </a:solidFill>
            <a:round/>
          </a:ln>
          <a:effectLst/>
        </c:spPr>
        <c:txPr>
          <a:bodyPr rot="-4020000" spcFirstLastPara="1" vertOverflow="ellipsis" wrap="square" anchor="ctr" anchorCtr="1"/>
          <a:lstStyle/>
          <a:p>
            <a:pPr>
              <a:defRPr sz="1400" b="0" i="0" u="none" strike="noStrike" kern="1200" baseline="0">
                <a:solidFill>
                  <a:srgbClr val="0070C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s-ES"/>
          </a:p>
        </c:txPr>
        <c:crossAx val="84711296"/>
        <c:crossesAt val="0"/>
        <c:auto val="1"/>
        <c:lblAlgn val="ctr"/>
        <c:lblOffset val="100"/>
        <c:noMultiLvlLbl val="0"/>
      </c:catAx>
      <c:valAx>
        <c:axId val="847112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lgDash"/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75000"/>
                    <a:lumOff val="2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s-ES"/>
          </a:p>
        </c:txPr>
        <c:crossAx val="847093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Arial Narrow" panose="020B060602020203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75000"/>
                    <a:lumOff val="25000"/>
                  </a:schemeClr>
                </a:solidFill>
                <a:latin typeface="Arial Rounded MT Bold" panose="020F0704030504030204" pitchFamily="34" charset="0"/>
                <a:ea typeface="+mn-ea"/>
                <a:cs typeface="+mn-cs"/>
              </a:defRPr>
            </a:pPr>
            <a:r>
              <a:rPr lang="el-GR" sz="1400">
                <a:solidFill>
                  <a:schemeClr val="tx1">
                    <a:lumMod val="75000"/>
                    <a:lumOff val="25000"/>
                  </a:schemeClr>
                </a:solidFill>
              </a:rPr>
              <a:t>Δ</a:t>
            </a:r>
            <a:r>
              <a:rPr lang="en-US" sz="1400">
                <a:solidFill>
                  <a:schemeClr val="tx1">
                    <a:lumMod val="75000"/>
                    <a:lumOff val="25000"/>
                  </a:schemeClr>
                </a:solidFill>
                <a:latin typeface="Arial Rounded MT Bold" panose="020F0704030504030204" pitchFamily="34" charset="0"/>
              </a:rPr>
              <a:t> €/año ATR Grupo 3 Promedio</a:t>
            </a:r>
            <a:r>
              <a:rPr lang="en-US" sz="1400" baseline="0">
                <a:solidFill>
                  <a:schemeClr val="tx1">
                    <a:lumMod val="75000"/>
                    <a:lumOff val="25000"/>
                  </a:schemeClr>
                </a:solidFill>
                <a:latin typeface="Arial Rounded MT Bold" panose="020F0704030504030204" pitchFamily="34" charset="0"/>
              </a:rPr>
              <a:t> (excepto 3.5)</a:t>
            </a:r>
            <a:endParaRPr lang="en-US" sz="1400">
              <a:solidFill>
                <a:schemeClr val="tx1">
                  <a:lumMod val="75000"/>
                  <a:lumOff val="25000"/>
                </a:schemeClr>
              </a:solidFill>
              <a:latin typeface="Arial Rounded MT Bold" panose="020F0704030504030204" pitchFamily="34" charset="0"/>
            </a:endParaRPr>
          </a:p>
        </c:rich>
      </c:tx>
      <c:layout>
        <c:manualLayout>
          <c:xMode val="edge"/>
          <c:yMode val="edge"/>
          <c:x val="0.30579109867239923"/>
          <c:y val="2.2246987247981926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'Grupo 3 Promedio'!$AZ$9</c:f>
              <c:strCache>
                <c:ptCount val="1"/>
                <c:pt idx="0">
                  <c:v>D €/año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dPt>
            <c:idx val="3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3447-4F95-8575-B9F32B6961B2}"/>
              </c:ext>
            </c:extLst>
          </c:dPt>
          <c:dPt>
            <c:idx val="31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97C4-4FF3-84DA-3228A1C150EE}"/>
              </c:ext>
            </c:extLst>
          </c:dPt>
          <c:dPt>
            <c:idx val="32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97C4-4FF3-84DA-3228A1C150EE}"/>
              </c:ext>
            </c:extLst>
          </c:dPt>
          <c:dPt>
            <c:idx val="33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2-97C4-4FF3-84DA-3228A1C150EE}"/>
              </c:ext>
            </c:extLst>
          </c:dPt>
          <c:dPt>
            <c:idx val="34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97C4-4FF3-84DA-3228A1C150EE}"/>
              </c:ext>
            </c:extLst>
          </c:dPt>
          <c:dPt>
            <c:idx val="35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4-97C4-4FF3-84DA-3228A1C150EE}"/>
              </c:ext>
            </c:extLst>
          </c:dPt>
          <c:dLbls>
            <c:dLbl>
              <c:idx val="3"/>
              <c:numFmt formatCode="#,##0\ &quot;€&quot;" sourceLinked="0"/>
              <c:spPr/>
              <c:txPr>
                <a:bodyPr/>
                <a:lstStyle/>
                <a:p>
                  <a:pPr>
                    <a:defRPr sz="1400">
                      <a:solidFill>
                        <a:srgbClr val="C00000"/>
                      </a:solidFill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\ &quot;€&quot;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>
                    <a:solidFill>
                      <a:srgbClr val="00B050"/>
                    </a:solidFill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'Grupo 3 Promedio'!$E$10:$E$13</c:f>
              <c:strCache>
                <c:ptCount val="4"/>
                <c:pt idx="0">
                  <c:v>3.1</c:v>
                </c:pt>
                <c:pt idx="1">
                  <c:v>3.2</c:v>
                </c:pt>
                <c:pt idx="2">
                  <c:v>3.3</c:v>
                </c:pt>
                <c:pt idx="3">
                  <c:v>3.4</c:v>
                </c:pt>
              </c:strCache>
            </c:strRef>
          </c:cat>
          <c:val>
            <c:numRef>
              <c:f>'Grupo 3 Promedio'!$AZ$10:$AZ$13</c:f>
              <c:numCache>
                <c:formatCode>#,##0.00\ "€"</c:formatCode>
                <c:ptCount val="4"/>
                <c:pt idx="0">
                  <c:v>-53.693761511831426</c:v>
                </c:pt>
                <c:pt idx="1">
                  <c:v>-59.589312403572421</c:v>
                </c:pt>
                <c:pt idx="2">
                  <c:v>-33.826700635313045</c:v>
                </c:pt>
                <c:pt idx="3">
                  <c:v>3728.8938233135705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CF2-45C5-9B12-F4A27987A0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8"/>
        <c:overlap val="-100"/>
        <c:axId val="85083648"/>
        <c:axId val="85085568"/>
      </c:barChart>
      <c:catAx>
        <c:axId val="850836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rgbClr val="0070C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es-ES" sz="1400">
                    <a:solidFill>
                      <a:srgbClr val="0070C0"/>
                    </a:solidFill>
                  </a:rPr>
                  <a:t>Peajes</a:t>
                </a:r>
                <a:r>
                  <a:rPr lang="es-ES" sz="1400" baseline="0">
                    <a:solidFill>
                      <a:srgbClr val="0070C0"/>
                    </a:solidFill>
                  </a:rPr>
                  <a:t> Grupo 3</a:t>
                </a:r>
                <a:endParaRPr lang="es-ES" sz="1400">
                  <a:solidFill>
                    <a:srgbClr val="0070C0"/>
                  </a:solidFill>
                </a:endParaRPr>
              </a:p>
            </c:rich>
          </c:tx>
          <c:layout>
            <c:manualLayout>
              <c:xMode val="edge"/>
              <c:yMode val="edge"/>
              <c:x val="0.43311625440759305"/>
              <c:y val="0.91666652068936316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cross"/>
        <c:minorTickMark val="none"/>
        <c:tickLblPos val="low"/>
        <c:spPr>
          <a:noFill/>
          <a:ln w="15875" cap="flat" cmpd="sng" algn="ctr">
            <a:solidFill>
              <a:srgbClr val="002060"/>
            </a:solidFill>
            <a:round/>
          </a:ln>
          <a:effectLst/>
        </c:spPr>
        <c:txPr>
          <a:bodyPr rot="-4140000" spcFirstLastPara="1" vertOverflow="ellipsis" wrap="square" anchor="ctr" anchorCtr="1"/>
          <a:lstStyle/>
          <a:p>
            <a:pPr>
              <a:defRPr sz="1400" b="0" i="0" u="none" strike="noStrike" kern="1200" baseline="0">
                <a:solidFill>
                  <a:srgbClr val="0070C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s-ES"/>
          </a:p>
        </c:txPr>
        <c:crossAx val="85085568"/>
        <c:crossesAt val="0"/>
        <c:auto val="1"/>
        <c:lblAlgn val="ctr"/>
        <c:lblOffset val="100"/>
        <c:noMultiLvlLbl val="0"/>
      </c:catAx>
      <c:valAx>
        <c:axId val="850855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lgDash"/>
              <a:round/>
            </a:ln>
            <a:effectLst/>
          </c:spPr>
        </c:majorGridlines>
        <c:numFmt formatCode="#,##0\ &quot;€&quot;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75000"/>
                    <a:lumOff val="2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s-ES"/>
          </a:p>
        </c:txPr>
        <c:crossAx val="850836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Arial Narrow" panose="020B060602020203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75000"/>
                    <a:lumOff val="25000"/>
                  </a:schemeClr>
                </a:solidFill>
                <a:latin typeface="Arial Rounded MT Bold" panose="020F0704030504030204" pitchFamily="34" charset="0"/>
                <a:ea typeface="+mn-ea"/>
                <a:cs typeface="+mn-cs"/>
              </a:defRPr>
            </a:pPr>
            <a:r>
              <a:rPr lang="en-US">
                <a:solidFill>
                  <a:schemeClr val="tx1">
                    <a:lumMod val="75000"/>
                    <a:lumOff val="25000"/>
                  </a:schemeClr>
                </a:solidFill>
                <a:latin typeface="Arial Rounded MT Bold" panose="020F0704030504030204" pitchFamily="34" charset="0"/>
              </a:rPr>
              <a:t>€/MWh</a:t>
            </a:r>
            <a:r>
              <a:rPr lang="en-US" baseline="0">
                <a:solidFill>
                  <a:schemeClr val="tx1">
                    <a:lumMod val="75000"/>
                    <a:lumOff val="25000"/>
                  </a:schemeClr>
                </a:solidFill>
                <a:latin typeface="Arial Rounded MT Bold" panose="020F0704030504030204" pitchFamily="34" charset="0"/>
              </a:rPr>
              <a:t> Peajes ATR</a:t>
            </a:r>
            <a:r>
              <a:rPr lang="en-US">
                <a:solidFill>
                  <a:schemeClr val="tx1">
                    <a:lumMod val="75000"/>
                    <a:lumOff val="25000"/>
                  </a:schemeClr>
                </a:solidFill>
                <a:latin typeface="Arial Rounded MT Bold" panose="020F0704030504030204" pitchFamily="34" charset="0"/>
              </a:rPr>
              <a:t> Grupo 3</a:t>
            </a:r>
            <a:r>
              <a:rPr lang="en-US" baseline="0">
                <a:solidFill>
                  <a:schemeClr val="tx1">
                    <a:lumMod val="75000"/>
                    <a:lumOff val="25000"/>
                  </a:schemeClr>
                </a:solidFill>
                <a:latin typeface="Arial Rounded MT Bold" panose="020F0704030504030204" pitchFamily="34" charset="0"/>
              </a:rPr>
              <a:t> (excepto 3.5)</a:t>
            </a:r>
            <a:endParaRPr lang="en-US">
              <a:solidFill>
                <a:schemeClr val="tx1">
                  <a:lumMod val="75000"/>
                  <a:lumOff val="25000"/>
                </a:schemeClr>
              </a:solidFill>
              <a:latin typeface="Arial Rounded MT Bold" panose="020F0704030504030204" pitchFamily="34" charset="0"/>
            </a:endParaRPr>
          </a:p>
        </c:rich>
      </c:tx>
      <c:layout>
        <c:manualLayout>
          <c:xMode val="edge"/>
          <c:yMode val="edge"/>
          <c:x val="0.3049615662526543"/>
          <c:y val="3.3207805546045868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ATR Actual</c:v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bg1"/>
              </a:solidFill>
              <a:ln w="9525">
                <a:solidFill>
                  <a:srgbClr val="0070C0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3.7334961032832424E-2"/>
                  <c:y val="-5.367190354402633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BD6-4E08-BA54-84C81BCC9347}"/>
                </c:ext>
              </c:extLst>
            </c:dLbl>
            <c:dLbl>
              <c:idx val="1"/>
              <c:layout>
                <c:manualLayout>
                  <c:x val="-3.3560901215767311E-2"/>
                  <c:y val="-5.001826817683595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BD6-4E08-BA54-84C81BCC9347}"/>
                </c:ext>
              </c:extLst>
            </c:dLbl>
            <c:dLbl>
              <c:idx val="2"/>
              <c:layout>
                <c:manualLayout>
                  <c:x val="-3.1673871307234841E-2"/>
                  <c:y val="-4.63646328096456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BD6-4E08-BA54-84C81BCC934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rgbClr val="0070C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es-E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'Grupo 3 Promedio'!$E$10:$E$13</c:f>
              <c:strCache>
                <c:ptCount val="4"/>
                <c:pt idx="0">
                  <c:v>3.1</c:v>
                </c:pt>
                <c:pt idx="1">
                  <c:v>3.2</c:v>
                </c:pt>
                <c:pt idx="2">
                  <c:v>3.3</c:v>
                </c:pt>
                <c:pt idx="3">
                  <c:v>3.4</c:v>
                </c:pt>
              </c:strCache>
            </c:strRef>
          </c:cat>
          <c:val>
            <c:numRef>
              <c:f>'Grupo 3 Promedio'!$S$10:$S$13</c:f>
              <c:numCache>
                <c:formatCode>0.00</c:formatCode>
                <c:ptCount val="4"/>
                <c:pt idx="0">
                  <c:v>42.925088127995934</c:v>
                </c:pt>
                <c:pt idx="1">
                  <c:v>32.285928065186852</c:v>
                </c:pt>
                <c:pt idx="2">
                  <c:v>27.679749185373705</c:v>
                </c:pt>
                <c:pt idx="3">
                  <c:v>17.560217230111519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2BD6-4E08-BA54-84C81BCC9347}"/>
            </c:ext>
          </c:extLst>
        </c:ser>
        <c:ser>
          <c:idx val="1"/>
          <c:order val="1"/>
          <c:tx>
            <c:v>ATR Circular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bg1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dLbl>
              <c:idx val="1"/>
              <c:layout>
                <c:manualLayout>
                  <c:x val="-3.7334961032832389E-2"/>
                  <c:y val="4.27109974424551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BD6-4E08-BA54-84C81BCC9347}"/>
                </c:ext>
              </c:extLst>
            </c:dLbl>
            <c:dLbl>
              <c:idx val="2"/>
              <c:layout>
                <c:manualLayout>
                  <c:x val="-3.733496103283232E-2"/>
                  <c:y val="6.09791742784070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BD6-4E08-BA54-84C81BCC934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accent2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'Grupo 3 Promedio'!$E$10:$E$13</c:f>
              <c:strCache>
                <c:ptCount val="4"/>
                <c:pt idx="0">
                  <c:v>3.1</c:v>
                </c:pt>
                <c:pt idx="1">
                  <c:v>3.2</c:v>
                </c:pt>
                <c:pt idx="2">
                  <c:v>3.3</c:v>
                </c:pt>
                <c:pt idx="3">
                  <c:v>3.4</c:v>
                </c:pt>
              </c:strCache>
            </c:strRef>
          </c:cat>
          <c:val>
            <c:numRef>
              <c:f>'Grupo 3 Promedio'!$AU$10:$AU$13</c:f>
              <c:numCache>
                <c:formatCode>0.00</c:formatCode>
                <c:ptCount val="4"/>
                <c:pt idx="0">
                  <c:v>23.328824802510013</c:v>
                </c:pt>
                <c:pt idx="1">
                  <c:v>26.217151977645102</c:v>
                </c:pt>
                <c:pt idx="2">
                  <c:v>27.205607354566013</c:v>
                </c:pt>
                <c:pt idx="3">
                  <c:v>25.410520016034827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BD6-4E08-BA54-84C81BCC93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910080"/>
        <c:axId val="84912000"/>
      </c:lineChart>
      <c:catAx>
        <c:axId val="849100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rgbClr val="0070C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es-ES" sz="1400">
                    <a:solidFill>
                      <a:srgbClr val="0070C0"/>
                    </a:solidFill>
                  </a:rPr>
                  <a:t>Peaje Grupo 3</a:t>
                </a:r>
              </a:p>
            </c:rich>
          </c:tx>
          <c:layout>
            <c:manualLayout>
              <c:xMode val="edge"/>
              <c:yMode val="edge"/>
              <c:x val="0.44897047659986333"/>
              <c:y val="0.90283631425867161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cross"/>
        <c:minorTickMark val="none"/>
        <c:tickLblPos val="low"/>
        <c:spPr>
          <a:noFill/>
          <a:ln w="12700" cap="flat" cmpd="sng" algn="ctr">
            <a:solidFill>
              <a:srgbClr val="002060"/>
            </a:solidFill>
            <a:round/>
          </a:ln>
          <a:effectLst/>
        </c:spPr>
        <c:txPr>
          <a:bodyPr rot="-4020000" spcFirstLastPara="1" vertOverflow="ellipsis" wrap="square" anchor="ctr" anchorCtr="1"/>
          <a:lstStyle/>
          <a:p>
            <a:pPr>
              <a:defRPr sz="1400" b="0" i="0" u="none" strike="noStrike" kern="1200" baseline="0">
                <a:solidFill>
                  <a:srgbClr val="0070C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s-ES"/>
          </a:p>
        </c:txPr>
        <c:crossAx val="84912000"/>
        <c:crossesAt val="0"/>
        <c:auto val="1"/>
        <c:lblAlgn val="ctr"/>
        <c:lblOffset val="100"/>
        <c:noMultiLvlLbl val="0"/>
      </c:catAx>
      <c:valAx>
        <c:axId val="84912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lgDash"/>
              <a:round/>
            </a:ln>
            <a:effectLst/>
          </c:spPr>
        </c:majorGridlines>
        <c:numFmt formatCode="#,##0.0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s-ES"/>
          </a:p>
        </c:txPr>
        <c:crossAx val="84910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Arial Narrow" panose="020B060602020203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75000"/>
                    <a:lumOff val="25000"/>
                  </a:schemeClr>
                </a:solidFill>
                <a:latin typeface="Arial Rounded MT Bold" panose="020F0704030504030204" pitchFamily="34" charset="0"/>
                <a:ea typeface="+mn-ea"/>
                <a:cs typeface="+mn-cs"/>
              </a:defRPr>
            </a:pPr>
            <a:r>
              <a:rPr lang="el-GR" sz="1400">
                <a:solidFill>
                  <a:schemeClr val="tx1">
                    <a:lumMod val="75000"/>
                    <a:lumOff val="25000"/>
                  </a:schemeClr>
                </a:solidFill>
              </a:rPr>
              <a:t>Δ</a:t>
            </a:r>
            <a:r>
              <a:rPr lang="en-US" sz="1400">
                <a:solidFill>
                  <a:schemeClr val="tx1">
                    <a:lumMod val="75000"/>
                    <a:lumOff val="25000"/>
                  </a:schemeClr>
                </a:solidFill>
                <a:latin typeface="Arial Rounded MT Bold" panose="020F0704030504030204" pitchFamily="34" charset="0"/>
              </a:rPr>
              <a:t> €/MWh ATR Grupo 3 Promedio</a:t>
            </a:r>
            <a:r>
              <a:rPr lang="en-US" sz="1400" baseline="0">
                <a:solidFill>
                  <a:schemeClr val="tx1">
                    <a:lumMod val="75000"/>
                    <a:lumOff val="25000"/>
                  </a:schemeClr>
                </a:solidFill>
                <a:latin typeface="Arial Rounded MT Bold" panose="020F0704030504030204" pitchFamily="34" charset="0"/>
              </a:rPr>
              <a:t> (excepto 3.5)</a:t>
            </a:r>
            <a:endParaRPr lang="en-US" sz="1400">
              <a:solidFill>
                <a:schemeClr val="tx1">
                  <a:lumMod val="75000"/>
                  <a:lumOff val="25000"/>
                </a:schemeClr>
              </a:solidFill>
              <a:latin typeface="Arial Rounded MT Bold" panose="020F0704030504030204" pitchFamily="34" charset="0"/>
            </a:endParaRPr>
          </a:p>
        </c:rich>
      </c:tx>
      <c:layout>
        <c:manualLayout>
          <c:xMode val="edge"/>
          <c:yMode val="edge"/>
          <c:x val="0.30579109867239923"/>
          <c:y val="2.2246987247981926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'Grupo 3 Promedio'!$BB$9</c:f>
              <c:strCache>
                <c:ptCount val="1"/>
                <c:pt idx="0">
                  <c:v>D €/MWh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dPt>
            <c:idx val="3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903-40B3-BD1C-DDEC64F6DA35}"/>
              </c:ext>
            </c:extLst>
          </c:dPt>
          <c:dPt>
            <c:idx val="31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2-5903-40B3-BD1C-DDEC64F6DA35}"/>
              </c:ext>
            </c:extLst>
          </c:dPt>
          <c:dPt>
            <c:idx val="32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5903-40B3-BD1C-DDEC64F6DA35}"/>
              </c:ext>
            </c:extLst>
          </c:dPt>
          <c:dPt>
            <c:idx val="33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4-5903-40B3-BD1C-DDEC64F6DA35}"/>
              </c:ext>
            </c:extLst>
          </c:dPt>
          <c:dPt>
            <c:idx val="34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5-5903-40B3-BD1C-DDEC64F6DA35}"/>
              </c:ext>
            </c:extLst>
          </c:dPt>
          <c:dPt>
            <c:idx val="35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6-5903-40B3-BD1C-DDEC64F6DA35}"/>
              </c:ext>
            </c:extLst>
          </c:dPt>
          <c:dLbls>
            <c:dLbl>
              <c:idx val="3"/>
              <c:numFmt formatCode="#,##0.00" sourceLinked="0"/>
              <c:spPr/>
              <c:txPr>
                <a:bodyPr/>
                <a:lstStyle/>
                <a:p>
                  <a:pPr>
                    <a:defRPr sz="1400">
                      <a:solidFill>
                        <a:srgbClr val="C00000"/>
                      </a:solidFill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>
                    <a:solidFill>
                      <a:srgbClr val="00B050"/>
                    </a:solidFill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'Grupo 3 Promedio'!$E$10:$E$13</c:f>
              <c:strCache>
                <c:ptCount val="4"/>
                <c:pt idx="0">
                  <c:v>3.1</c:v>
                </c:pt>
                <c:pt idx="1">
                  <c:v>3.2</c:v>
                </c:pt>
                <c:pt idx="2">
                  <c:v>3.3</c:v>
                </c:pt>
                <c:pt idx="3">
                  <c:v>3.4</c:v>
                </c:pt>
              </c:strCache>
            </c:strRef>
          </c:cat>
          <c:val>
            <c:numRef>
              <c:f>'Grupo 3 Promedio'!$BB$10:$BB$13</c:f>
              <c:numCache>
                <c:formatCode>#,##0.00</c:formatCode>
                <c:ptCount val="4"/>
                <c:pt idx="0">
                  <c:v>-19.596263325485921</c:v>
                </c:pt>
                <c:pt idx="1">
                  <c:v>-6.0687760875417496</c:v>
                </c:pt>
                <c:pt idx="2">
                  <c:v>-0.47414183080769234</c:v>
                </c:pt>
                <c:pt idx="3">
                  <c:v>7.8503027859233079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5903-40B3-BD1C-DDEC64F6DA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8"/>
        <c:overlap val="-100"/>
        <c:axId val="84945152"/>
        <c:axId val="84951424"/>
      </c:barChart>
      <c:catAx>
        <c:axId val="849451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rgbClr val="0070C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es-ES" sz="1400">
                    <a:solidFill>
                      <a:srgbClr val="0070C0"/>
                    </a:solidFill>
                  </a:rPr>
                  <a:t>Peajes</a:t>
                </a:r>
                <a:r>
                  <a:rPr lang="es-ES" sz="1400" baseline="0">
                    <a:solidFill>
                      <a:srgbClr val="0070C0"/>
                    </a:solidFill>
                  </a:rPr>
                  <a:t> Grupo 3</a:t>
                </a:r>
                <a:endParaRPr lang="es-ES" sz="1400">
                  <a:solidFill>
                    <a:srgbClr val="0070C0"/>
                  </a:solidFill>
                </a:endParaRPr>
              </a:p>
            </c:rich>
          </c:tx>
          <c:layout>
            <c:manualLayout>
              <c:xMode val="edge"/>
              <c:yMode val="edge"/>
              <c:x val="0.43311625440759305"/>
              <c:y val="0.91666652068936316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cross"/>
        <c:minorTickMark val="none"/>
        <c:tickLblPos val="low"/>
        <c:spPr>
          <a:noFill/>
          <a:ln w="15875" cap="flat" cmpd="sng" algn="ctr">
            <a:solidFill>
              <a:srgbClr val="002060"/>
            </a:solidFill>
            <a:round/>
          </a:ln>
          <a:effectLst/>
        </c:spPr>
        <c:txPr>
          <a:bodyPr rot="-4140000" spcFirstLastPara="1" vertOverflow="ellipsis" wrap="square" anchor="ctr" anchorCtr="1"/>
          <a:lstStyle/>
          <a:p>
            <a:pPr>
              <a:defRPr sz="1400" b="0" i="0" u="none" strike="noStrike" kern="1200" baseline="0">
                <a:solidFill>
                  <a:srgbClr val="0070C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s-ES"/>
          </a:p>
        </c:txPr>
        <c:crossAx val="84951424"/>
        <c:crossesAt val="0"/>
        <c:auto val="1"/>
        <c:lblAlgn val="ctr"/>
        <c:lblOffset val="100"/>
        <c:noMultiLvlLbl val="0"/>
      </c:catAx>
      <c:valAx>
        <c:axId val="849514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lgDash"/>
              <a:round/>
            </a:ln>
            <a:effectLst/>
          </c:spPr>
        </c:majorGridlines>
        <c:numFmt formatCode="#,##0\ &quot;€&quot;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75000"/>
                    <a:lumOff val="2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s-ES"/>
          </a:p>
        </c:txPr>
        <c:crossAx val="849451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Arial Narrow" panose="020B060602020203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75000"/>
                    <a:lumOff val="25000"/>
                  </a:schemeClr>
                </a:solidFill>
                <a:latin typeface="Arial Rounded MT Bold" panose="020F0704030504030204" pitchFamily="34" charset="0"/>
                <a:ea typeface="+mn-ea"/>
                <a:cs typeface="+mn-cs"/>
              </a:defRPr>
            </a:pPr>
            <a:r>
              <a:rPr lang="el-GR">
                <a:solidFill>
                  <a:schemeClr val="tx1">
                    <a:lumMod val="75000"/>
                    <a:lumOff val="25000"/>
                  </a:schemeClr>
                </a:solidFill>
              </a:rPr>
              <a:t>Δ</a:t>
            </a:r>
            <a:r>
              <a:rPr lang="en-US">
                <a:solidFill>
                  <a:schemeClr val="tx1">
                    <a:lumMod val="75000"/>
                    <a:lumOff val="25000"/>
                  </a:schemeClr>
                </a:solidFill>
                <a:latin typeface="Arial Rounded MT Bold" panose="020F0704030504030204" pitchFamily="34" charset="0"/>
              </a:rPr>
              <a:t> €</a:t>
            </a:r>
            <a:r>
              <a:rPr lang="en-US" baseline="0">
                <a:solidFill>
                  <a:schemeClr val="tx1">
                    <a:lumMod val="75000"/>
                    <a:lumOff val="25000"/>
                  </a:schemeClr>
                </a:solidFill>
                <a:latin typeface="Arial Rounded MT Bold" panose="020F0704030504030204" pitchFamily="34" charset="0"/>
              </a:rPr>
              <a:t> ATR</a:t>
            </a:r>
            <a:r>
              <a:rPr lang="en-US">
                <a:solidFill>
                  <a:schemeClr val="tx1">
                    <a:lumMod val="75000"/>
                    <a:lumOff val="25000"/>
                  </a:schemeClr>
                </a:solidFill>
                <a:latin typeface="Arial Rounded MT Bold" panose="020F0704030504030204" pitchFamily="34" charset="0"/>
              </a:rPr>
              <a:t> Grupo 3 GNL (excepto 3.5)</a:t>
            </a:r>
          </a:p>
        </c:rich>
      </c:tx>
      <c:layout>
        <c:manualLayout>
          <c:xMode val="edge"/>
          <c:yMode val="edge"/>
          <c:x val="0.31626953997418089"/>
          <c:y val="2.5294521220190023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'Grupo 3 GNL'!$AN$9</c:f>
              <c:strCache>
                <c:ptCount val="1"/>
                <c:pt idx="0">
                  <c:v>D €/año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bg1"/>
              </a:solidFill>
              <a:ln w="9525">
                <a:solidFill>
                  <a:srgbClr val="C00000"/>
                </a:solidFill>
              </a:ln>
              <a:effectLst/>
            </c:spPr>
          </c:marker>
          <c:cat>
            <c:numRef>
              <c:f>'Grupo 3 GNL'!$B$10:$B$35</c:f>
              <c:numCache>
                <c:formatCode>#,##0.00</c:formatCode>
                <c:ptCount val="26"/>
                <c:pt idx="0">
                  <c:v>0.5</c:v>
                </c:pt>
                <c:pt idx="1">
                  <c:v>1</c:v>
                </c:pt>
                <c:pt idx="2">
                  <c:v>1.5</c:v>
                </c:pt>
                <c:pt idx="3" formatCode="#,##0.0">
                  <c:v>3</c:v>
                </c:pt>
                <c:pt idx="4" formatCode="#,##0.0">
                  <c:v>5</c:v>
                </c:pt>
                <c:pt idx="5" formatCode="#,##0">
                  <c:v>10</c:v>
                </c:pt>
                <c:pt idx="6" formatCode="#,##0">
                  <c:v>25</c:v>
                </c:pt>
                <c:pt idx="7" formatCode="#,##0">
                  <c:v>50</c:v>
                </c:pt>
                <c:pt idx="8" formatCode="#,##0">
                  <c:v>75</c:v>
                </c:pt>
                <c:pt idx="9" formatCode="#,##0">
                  <c:v>100</c:v>
                </c:pt>
                <c:pt idx="10" formatCode="#,##0">
                  <c:v>150</c:v>
                </c:pt>
                <c:pt idx="11" formatCode="#,##0">
                  <c:v>250</c:v>
                </c:pt>
                <c:pt idx="12" formatCode="#,##0">
                  <c:v>500</c:v>
                </c:pt>
                <c:pt idx="13" formatCode="#,##0">
                  <c:v>750</c:v>
                </c:pt>
                <c:pt idx="14" formatCode="#,##0">
                  <c:v>1000</c:v>
                </c:pt>
                <c:pt idx="15" formatCode="#,##0">
                  <c:v>1500</c:v>
                </c:pt>
                <c:pt idx="16" formatCode="#,##0">
                  <c:v>2000</c:v>
                </c:pt>
                <c:pt idx="17" formatCode="#,##0">
                  <c:v>3000</c:v>
                </c:pt>
                <c:pt idx="18" formatCode="#,##0">
                  <c:v>3500</c:v>
                </c:pt>
                <c:pt idx="19" formatCode="#,##0">
                  <c:v>4000</c:v>
                </c:pt>
                <c:pt idx="20" formatCode="#,##0">
                  <c:v>4500</c:v>
                </c:pt>
                <c:pt idx="21" formatCode="#,##0">
                  <c:v>5000</c:v>
                </c:pt>
                <c:pt idx="22" formatCode="#,##0">
                  <c:v>5500</c:v>
                </c:pt>
                <c:pt idx="23" formatCode="#,##0">
                  <c:v>6000</c:v>
                </c:pt>
                <c:pt idx="24" formatCode="#,##0">
                  <c:v>7000</c:v>
                </c:pt>
                <c:pt idx="25" formatCode="#,##0">
                  <c:v>7500</c:v>
                </c:pt>
              </c:numCache>
            </c:numRef>
          </c:cat>
          <c:val>
            <c:numRef>
              <c:f>'Grupo 3 GNL'!$AO$10:$AO$35</c:f>
              <c:numCache>
                <c:formatCode>0%</c:formatCode>
                <c:ptCount val="26"/>
                <c:pt idx="0">
                  <c:v>-0.47184686900298201</c:v>
                </c:pt>
                <c:pt idx="1">
                  <c:v>-0.3780330391930028</c:v>
                </c:pt>
                <c:pt idx="2">
                  <c:v>-0.32313596565424069</c:v>
                </c:pt>
                <c:pt idx="3">
                  <c:v>-0.24267224636456558</c:v>
                </c:pt>
                <c:pt idx="4">
                  <c:v>7.1696001242776461E-2</c:v>
                </c:pt>
                <c:pt idx="5">
                  <c:v>0.10201670874424733</c:v>
                </c:pt>
                <c:pt idx="6">
                  <c:v>0.30979388669280977</c:v>
                </c:pt>
                <c:pt idx="7">
                  <c:v>0.18208502513391253</c:v>
                </c:pt>
                <c:pt idx="8">
                  <c:v>0.35909712699015844</c:v>
                </c:pt>
                <c:pt idx="9">
                  <c:v>0.3591074085606224</c:v>
                </c:pt>
                <c:pt idx="10">
                  <c:v>0.23749413916684739</c:v>
                </c:pt>
                <c:pt idx="11">
                  <c:v>0.29668672152848774</c:v>
                </c:pt>
                <c:pt idx="12">
                  <c:v>0.67889855018057499</c:v>
                </c:pt>
                <c:pt idx="13">
                  <c:v>0.60128191266443154</c:v>
                </c:pt>
                <c:pt idx="14">
                  <c:v>0.56029981344699831</c:v>
                </c:pt>
                <c:pt idx="15">
                  <c:v>0.51775823642415753</c:v>
                </c:pt>
                <c:pt idx="16">
                  <c:v>0.47264932385313774</c:v>
                </c:pt>
                <c:pt idx="17">
                  <c:v>0.29942352369691272</c:v>
                </c:pt>
                <c:pt idx="18">
                  <c:v>0.24929981679997776</c:v>
                </c:pt>
                <c:pt idx="19">
                  <c:v>0.21152036546965827</c:v>
                </c:pt>
                <c:pt idx="20">
                  <c:v>0.18202499421447907</c:v>
                </c:pt>
                <c:pt idx="21">
                  <c:v>0.17946109150370163</c:v>
                </c:pt>
                <c:pt idx="22">
                  <c:v>-0.45974301552494373</c:v>
                </c:pt>
                <c:pt idx="23">
                  <c:v>-0.45921114526655993</c:v>
                </c:pt>
                <c:pt idx="24">
                  <c:v>-0.45837323004102781</c:v>
                </c:pt>
                <c:pt idx="25">
                  <c:v>-0.45803733645632955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4AF7-4B05-8A55-537B0B319B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640896"/>
        <c:axId val="84643200"/>
      </c:lineChart>
      <c:catAx>
        <c:axId val="846408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rgbClr val="0070C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es-ES" sz="1400">
                    <a:solidFill>
                      <a:srgbClr val="0070C0"/>
                    </a:solidFill>
                  </a:rPr>
                  <a:t>Consumo MWh/año</a:t>
                </a:r>
              </a:p>
            </c:rich>
          </c:tx>
          <c:layout>
            <c:manualLayout>
              <c:xMode val="edge"/>
              <c:yMode val="edge"/>
              <c:x val="0.38433481959333399"/>
              <c:y val="0.90283633900601135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.00" sourceLinked="1"/>
        <c:majorTickMark val="cross"/>
        <c:minorTickMark val="none"/>
        <c:tickLblPos val="low"/>
        <c:spPr>
          <a:noFill/>
          <a:ln w="12700" cap="flat" cmpd="sng" algn="ctr">
            <a:solidFill>
              <a:srgbClr val="002060"/>
            </a:solidFill>
            <a:round/>
          </a:ln>
          <a:effectLst/>
        </c:spPr>
        <c:txPr>
          <a:bodyPr rot="-402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rgbClr val="0070C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s-ES"/>
          </a:p>
        </c:txPr>
        <c:crossAx val="84643200"/>
        <c:crossesAt val="0"/>
        <c:auto val="1"/>
        <c:lblAlgn val="ctr"/>
        <c:lblOffset val="100"/>
        <c:noMultiLvlLbl val="0"/>
      </c:catAx>
      <c:valAx>
        <c:axId val="846432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lgDash"/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75000"/>
                    <a:lumOff val="2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s-ES"/>
          </a:p>
        </c:txPr>
        <c:crossAx val="846408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Arial Narrow" panose="020B060602020203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75000"/>
                    <a:lumOff val="25000"/>
                  </a:schemeClr>
                </a:solidFill>
                <a:latin typeface="Arial Rounded MT Bold" panose="020F0704030504030204" pitchFamily="34" charset="0"/>
                <a:ea typeface="+mn-ea"/>
                <a:cs typeface="+mn-cs"/>
              </a:defRPr>
            </a:pPr>
            <a:r>
              <a:rPr lang="el-GR" sz="1400">
                <a:solidFill>
                  <a:schemeClr val="tx1">
                    <a:lumMod val="75000"/>
                    <a:lumOff val="25000"/>
                  </a:schemeClr>
                </a:solidFill>
              </a:rPr>
              <a:t>Δ</a:t>
            </a:r>
            <a:r>
              <a:rPr lang="en-US" sz="1400">
                <a:solidFill>
                  <a:schemeClr val="tx1">
                    <a:lumMod val="75000"/>
                    <a:lumOff val="25000"/>
                  </a:schemeClr>
                </a:solidFill>
                <a:latin typeface="Arial Rounded MT Bold" panose="020F0704030504030204" pitchFamily="34" charset="0"/>
              </a:rPr>
              <a:t> €/año ATR Grupo 3 GNL (excepto 3.5)</a:t>
            </a:r>
          </a:p>
        </c:rich>
      </c:tx>
      <c:layout>
        <c:manualLayout>
          <c:xMode val="edge"/>
          <c:yMode val="edge"/>
          <c:x val="0.29691500447752034"/>
          <c:y val="2.2246896468313883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'Grupo 3 GNL'!$AN$9</c:f>
              <c:strCache>
                <c:ptCount val="1"/>
                <c:pt idx="0">
                  <c:v>D €/año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2C11-45FC-8EE9-08BEA26AE6AC}"/>
              </c:ext>
            </c:extLst>
          </c:dPt>
          <c:dPt>
            <c:idx val="1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2C11-45FC-8EE9-08BEA26AE6AC}"/>
              </c:ext>
            </c:extLst>
          </c:dPt>
          <c:dPt>
            <c:idx val="2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2C11-45FC-8EE9-08BEA26AE6AC}"/>
              </c:ext>
            </c:extLst>
          </c:dPt>
          <c:dPt>
            <c:idx val="3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2C11-45FC-8EE9-08BEA26AE6AC}"/>
              </c:ext>
            </c:extLst>
          </c:dPt>
          <c:dPt>
            <c:idx val="4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2C11-45FC-8EE9-08BEA26AE6AC}"/>
              </c:ext>
            </c:extLst>
          </c:dPt>
          <c:dPt>
            <c:idx val="22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2C11-45FC-8EE9-08BEA26AE6AC}"/>
              </c:ext>
            </c:extLst>
          </c:dPt>
          <c:dPt>
            <c:idx val="23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2C11-45FC-8EE9-08BEA26AE6AC}"/>
              </c:ext>
            </c:extLst>
          </c:dPt>
          <c:dPt>
            <c:idx val="24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2C11-45FC-8EE9-08BEA26AE6AC}"/>
              </c:ext>
            </c:extLst>
          </c:dPt>
          <c:dPt>
            <c:idx val="25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2C11-45FC-8EE9-08BEA26AE6AC}"/>
              </c:ext>
            </c:extLst>
          </c:dPt>
          <c:dPt>
            <c:idx val="31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0-1EAD-4F78-8D56-B38BDF5076A9}"/>
              </c:ext>
            </c:extLst>
          </c:dPt>
          <c:dPt>
            <c:idx val="32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1EAD-4F78-8D56-B38BDF5076A9}"/>
              </c:ext>
            </c:extLst>
          </c:dPt>
          <c:dPt>
            <c:idx val="33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1EAD-4F78-8D56-B38BDF5076A9}"/>
              </c:ext>
            </c:extLst>
          </c:dPt>
          <c:dPt>
            <c:idx val="34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1EAD-4F78-8D56-B38BDF5076A9}"/>
              </c:ext>
            </c:extLst>
          </c:dPt>
          <c:dPt>
            <c:idx val="35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1EAD-4F78-8D56-B38BDF5076A9}"/>
              </c:ext>
            </c:extLst>
          </c:dPt>
          <c:cat>
            <c:numRef>
              <c:f>'Grupo 3 GNL'!$B$10:$B$35</c:f>
              <c:numCache>
                <c:formatCode>#,##0.00</c:formatCode>
                <c:ptCount val="26"/>
                <c:pt idx="0">
                  <c:v>0.5</c:v>
                </c:pt>
                <c:pt idx="1">
                  <c:v>1</c:v>
                </c:pt>
                <c:pt idx="2">
                  <c:v>1.5</c:v>
                </c:pt>
                <c:pt idx="3" formatCode="#,##0.0">
                  <c:v>3</c:v>
                </c:pt>
                <c:pt idx="4" formatCode="#,##0.0">
                  <c:v>5</c:v>
                </c:pt>
                <c:pt idx="5" formatCode="#,##0">
                  <c:v>10</c:v>
                </c:pt>
                <c:pt idx="6" formatCode="#,##0">
                  <c:v>25</c:v>
                </c:pt>
                <c:pt idx="7" formatCode="#,##0">
                  <c:v>50</c:v>
                </c:pt>
                <c:pt idx="8" formatCode="#,##0">
                  <c:v>75</c:v>
                </c:pt>
                <c:pt idx="9" formatCode="#,##0">
                  <c:v>100</c:v>
                </c:pt>
                <c:pt idx="10" formatCode="#,##0">
                  <c:v>150</c:v>
                </c:pt>
                <c:pt idx="11" formatCode="#,##0">
                  <c:v>250</c:v>
                </c:pt>
                <c:pt idx="12" formatCode="#,##0">
                  <c:v>500</c:v>
                </c:pt>
                <c:pt idx="13" formatCode="#,##0">
                  <c:v>750</c:v>
                </c:pt>
                <c:pt idx="14" formatCode="#,##0">
                  <c:v>1000</c:v>
                </c:pt>
                <c:pt idx="15" formatCode="#,##0">
                  <c:v>1500</c:v>
                </c:pt>
                <c:pt idx="16" formatCode="#,##0">
                  <c:v>2000</c:v>
                </c:pt>
                <c:pt idx="17" formatCode="#,##0">
                  <c:v>3000</c:v>
                </c:pt>
                <c:pt idx="18" formatCode="#,##0">
                  <c:v>3500</c:v>
                </c:pt>
                <c:pt idx="19" formatCode="#,##0">
                  <c:v>4000</c:v>
                </c:pt>
                <c:pt idx="20" formatCode="#,##0">
                  <c:v>4500</c:v>
                </c:pt>
                <c:pt idx="21" formatCode="#,##0">
                  <c:v>5000</c:v>
                </c:pt>
                <c:pt idx="22" formatCode="#,##0">
                  <c:v>5500</c:v>
                </c:pt>
                <c:pt idx="23" formatCode="#,##0">
                  <c:v>6000</c:v>
                </c:pt>
                <c:pt idx="24" formatCode="#,##0">
                  <c:v>7000</c:v>
                </c:pt>
                <c:pt idx="25" formatCode="#,##0">
                  <c:v>7500</c:v>
                </c:pt>
              </c:numCache>
            </c:numRef>
          </c:cat>
          <c:val>
            <c:numRef>
              <c:f>'Grupo 3 GNL'!$AN$10:$AN$35</c:f>
              <c:numCache>
                <c:formatCode>#,##0.00\ "€"</c:formatCode>
                <c:ptCount val="26"/>
                <c:pt idx="0">
                  <c:v>-13.58081191770459</c:v>
                </c:pt>
                <c:pt idx="1">
                  <c:v>-14.737303835409183</c:v>
                </c:pt>
                <c:pt idx="2">
                  <c:v>-15.893795753113778</c:v>
                </c:pt>
                <c:pt idx="3">
                  <c:v>-19.363271506227555</c:v>
                </c:pt>
                <c:pt idx="4">
                  <c:v>8.7275495431343302</c:v>
                </c:pt>
                <c:pt idx="5">
                  <c:v>21.182029086268642</c:v>
                </c:pt>
                <c:pt idx="6">
                  <c:v>141.58474643196837</c:v>
                </c:pt>
                <c:pt idx="7">
                  <c:v>158.65569286393679</c:v>
                </c:pt>
                <c:pt idx="8">
                  <c:v>475.17998797542441</c:v>
                </c:pt>
                <c:pt idx="9">
                  <c:v>585.61539730056575</c:v>
                </c:pt>
                <c:pt idx="10">
                  <c:v>585.76757595084837</c:v>
                </c:pt>
                <c:pt idx="11">
                  <c:v>1080.8500132514137</c:v>
                </c:pt>
                <c:pt idx="12">
                  <c:v>4489.4794544051692</c:v>
                </c:pt>
                <c:pt idx="13">
                  <c:v>5753.4072216077529</c:v>
                </c:pt>
                <c:pt idx="14">
                  <c:v>7017.3349888103385</c:v>
                </c:pt>
                <c:pt idx="15">
                  <c:v>9545.1905232155077</c:v>
                </c:pt>
                <c:pt idx="16">
                  <c:v>11294.824738341871</c:v>
                </c:pt>
                <c:pt idx="17">
                  <c:v>10627.887147512803</c:v>
                </c:pt>
                <c:pt idx="18">
                  <c:v>10294.41835209827</c:v>
                </c:pt>
                <c:pt idx="19">
                  <c:v>9960.9495566837286</c:v>
                </c:pt>
                <c:pt idx="20">
                  <c:v>9627.4807612691948</c:v>
                </c:pt>
                <c:pt idx="21">
                  <c:v>9708.9718015471444</c:v>
                </c:pt>
                <c:pt idx="22">
                  <c:v>-27327.411956309428</c:v>
                </c:pt>
                <c:pt idx="23">
                  <c:v>-29747.947217792105</c:v>
                </c:pt>
                <c:pt idx="24">
                  <c:v>-34589.017740757452</c:v>
                </c:pt>
                <c:pt idx="25">
                  <c:v>-37009.553002240129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CA9-427B-81F7-669BFC35AC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8"/>
        <c:overlap val="-100"/>
        <c:axId val="85023744"/>
        <c:axId val="85034112"/>
      </c:barChart>
      <c:catAx>
        <c:axId val="850237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rgbClr val="0070C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es-ES" sz="1400">
                    <a:solidFill>
                      <a:srgbClr val="0070C0"/>
                    </a:solidFill>
                  </a:rPr>
                  <a:t>Consumo</a:t>
                </a:r>
                <a:r>
                  <a:rPr lang="es-ES" sz="1400" baseline="0">
                    <a:solidFill>
                      <a:srgbClr val="0070C0"/>
                    </a:solidFill>
                  </a:rPr>
                  <a:t> MWh/año</a:t>
                </a:r>
                <a:endParaRPr lang="es-ES" sz="1400">
                  <a:solidFill>
                    <a:srgbClr val="0070C0"/>
                  </a:solidFill>
                </a:endParaRPr>
              </a:p>
            </c:rich>
          </c:tx>
          <c:layout>
            <c:manualLayout>
              <c:xMode val="edge"/>
              <c:yMode val="edge"/>
              <c:x val="0.43311625440759305"/>
              <c:y val="0.91666652068936316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.00" sourceLinked="1"/>
        <c:majorTickMark val="none"/>
        <c:minorTickMark val="none"/>
        <c:tickLblPos val="low"/>
        <c:spPr>
          <a:noFill/>
          <a:ln w="15875" cap="flat" cmpd="sng" algn="ctr">
            <a:solidFill>
              <a:srgbClr val="002060"/>
            </a:solidFill>
            <a:round/>
          </a:ln>
          <a:effectLst/>
        </c:spPr>
        <c:txPr>
          <a:bodyPr rot="-414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rgbClr val="0070C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s-ES"/>
          </a:p>
        </c:txPr>
        <c:crossAx val="85034112"/>
        <c:crossesAt val="0"/>
        <c:auto val="1"/>
        <c:lblAlgn val="ctr"/>
        <c:lblOffset val="100"/>
        <c:noMultiLvlLbl val="0"/>
      </c:catAx>
      <c:valAx>
        <c:axId val="850341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lgDash"/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75000"/>
                    <a:lumOff val="2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s-ES"/>
          </a:p>
        </c:txPr>
        <c:crossAx val="85023744"/>
        <c:crosses val="autoZero"/>
        <c:crossBetween val="between"/>
        <c:dispUnits>
          <c:builtInUnit val="thousands"/>
          <c:dispUnitsLbl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r>
                    <a:rPr lang="es-ES"/>
                    <a:t>Miles</a:t>
                  </a:r>
                  <a:r>
                    <a:rPr lang="es-ES" baseline="0"/>
                    <a:t> euros</a:t>
                  </a:r>
                  <a:endParaRPr lang="es-ES"/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Arial Narrow" panose="020B060602020203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75000"/>
                    <a:lumOff val="25000"/>
                  </a:schemeClr>
                </a:solidFill>
                <a:latin typeface="Arial Rounded MT Bold" panose="020F0704030504030204" pitchFamily="34" charset="0"/>
                <a:ea typeface="+mn-ea"/>
                <a:cs typeface="+mn-cs"/>
              </a:defRPr>
            </a:pPr>
            <a:r>
              <a:rPr lang="en-US">
                <a:solidFill>
                  <a:schemeClr val="tx1">
                    <a:lumMod val="75000"/>
                    <a:lumOff val="25000"/>
                  </a:schemeClr>
                </a:solidFill>
                <a:latin typeface="Arial Rounded MT Bold" panose="020F0704030504030204" pitchFamily="34" charset="0"/>
              </a:rPr>
              <a:t>€/MWh</a:t>
            </a:r>
            <a:r>
              <a:rPr lang="en-US" baseline="0">
                <a:solidFill>
                  <a:schemeClr val="tx1">
                    <a:lumMod val="75000"/>
                    <a:lumOff val="25000"/>
                  </a:schemeClr>
                </a:solidFill>
                <a:latin typeface="Arial Rounded MT Bold" panose="020F0704030504030204" pitchFamily="34" charset="0"/>
              </a:rPr>
              <a:t> Peajes ATR</a:t>
            </a:r>
            <a:r>
              <a:rPr lang="en-US">
                <a:solidFill>
                  <a:schemeClr val="tx1">
                    <a:lumMod val="75000"/>
                    <a:lumOff val="25000"/>
                  </a:schemeClr>
                </a:solidFill>
                <a:latin typeface="Arial Rounded MT Bold" panose="020F0704030504030204" pitchFamily="34" charset="0"/>
              </a:rPr>
              <a:t> Grupo 3 GNL (excepto</a:t>
            </a:r>
            <a:r>
              <a:rPr lang="en-US" baseline="0">
                <a:solidFill>
                  <a:schemeClr val="tx1">
                    <a:lumMod val="75000"/>
                    <a:lumOff val="25000"/>
                  </a:schemeClr>
                </a:solidFill>
                <a:latin typeface="Arial Rounded MT Bold" panose="020F0704030504030204" pitchFamily="34" charset="0"/>
              </a:rPr>
              <a:t> 3.5)</a:t>
            </a:r>
            <a:endParaRPr lang="en-US">
              <a:solidFill>
                <a:schemeClr val="tx1">
                  <a:lumMod val="75000"/>
                  <a:lumOff val="25000"/>
                </a:schemeClr>
              </a:solidFill>
              <a:latin typeface="Arial Rounded MT Bold" panose="020F0704030504030204" pitchFamily="34" charset="0"/>
            </a:endParaRPr>
          </a:p>
        </c:rich>
      </c:tx>
      <c:layout>
        <c:manualLayout>
          <c:xMode val="edge"/>
          <c:yMode val="edge"/>
          <c:x val="0.2714257302222986"/>
          <c:y val="2.5900534811665165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ATR Actual</c:v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bg1"/>
              </a:solidFill>
              <a:ln w="9525">
                <a:solidFill>
                  <a:srgbClr val="0070C0"/>
                </a:solidFill>
              </a:ln>
              <a:effectLst/>
            </c:spPr>
          </c:marker>
          <c:cat>
            <c:numRef>
              <c:f>'Grupo 3 GNL'!$B$10:$B$35</c:f>
              <c:numCache>
                <c:formatCode>#,##0.00</c:formatCode>
                <c:ptCount val="26"/>
                <c:pt idx="0">
                  <c:v>0.5</c:v>
                </c:pt>
                <c:pt idx="1">
                  <c:v>1</c:v>
                </c:pt>
                <c:pt idx="2">
                  <c:v>1.5</c:v>
                </c:pt>
                <c:pt idx="3" formatCode="#,##0.0">
                  <c:v>3</c:v>
                </c:pt>
                <c:pt idx="4" formatCode="#,##0.0">
                  <c:v>5</c:v>
                </c:pt>
                <c:pt idx="5" formatCode="#,##0">
                  <c:v>10</c:v>
                </c:pt>
                <c:pt idx="6" formatCode="#,##0">
                  <c:v>25</c:v>
                </c:pt>
                <c:pt idx="7" formatCode="#,##0">
                  <c:v>50</c:v>
                </c:pt>
                <c:pt idx="8" formatCode="#,##0">
                  <c:v>75</c:v>
                </c:pt>
                <c:pt idx="9" formatCode="#,##0">
                  <c:v>100</c:v>
                </c:pt>
                <c:pt idx="10" formatCode="#,##0">
                  <c:v>150</c:v>
                </c:pt>
                <c:pt idx="11" formatCode="#,##0">
                  <c:v>250</c:v>
                </c:pt>
                <c:pt idx="12" formatCode="#,##0">
                  <c:v>500</c:v>
                </c:pt>
                <c:pt idx="13" formatCode="#,##0">
                  <c:v>750</c:v>
                </c:pt>
                <c:pt idx="14" formatCode="#,##0">
                  <c:v>1000</c:v>
                </c:pt>
                <c:pt idx="15" formatCode="#,##0">
                  <c:v>1500</c:v>
                </c:pt>
                <c:pt idx="16" formatCode="#,##0">
                  <c:v>2000</c:v>
                </c:pt>
                <c:pt idx="17" formatCode="#,##0">
                  <c:v>3000</c:v>
                </c:pt>
                <c:pt idx="18" formatCode="#,##0">
                  <c:v>3500</c:v>
                </c:pt>
                <c:pt idx="19" formatCode="#,##0">
                  <c:v>4000</c:v>
                </c:pt>
                <c:pt idx="20" formatCode="#,##0">
                  <c:v>4500</c:v>
                </c:pt>
                <c:pt idx="21" formatCode="#,##0">
                  <c:v>5000</c:v>
                </c:pt>
                <c:pt idx="22" formatCode="#,##0">
                  <c:v>5500</c:v>
                </c:pt>
                <c:pt idx="23" formatCode="#,##0">
                  <c:v>6000</c:v>
                </c:pt>
                <c:pt idx="24" formatCode="#,##0">
                  <c:v>7000</c:v>
                </c:pt>
                <c:pt idx="25" formatCode="#,##0">
                  <c:v>7500</c:v>
                </c:pt>
              </c:numCache>
            </c:numRef>
          </c:cat>
          <c:val>
            <c:numRef>
              <c:f>'Grupo 3 GNL'!$R$10:$R$35</c:f>
              <c:numCache>
                <c:formatCode>0.00</c:formatCode>
                <c:ptCount val="26"/>
                <c:pt idx="0">
                  <c:v>57.564488862248915</c:v>
                </c:pt>
                <c:pt idx="1">
                  <c:v>38.984168862248914</c:v>
                </c:pt>
                <c:pt idx="2">
                  <c:v>32.790728862248919</c:v>
                </c:pt>
                <c:pt idx="3">
                  <c:v>26.597288862248917</c:v>
                </c:pt>
                <c:pt idx="4">
                  <c:v>24.345986922146931</c:v>
                </c:pt>
                <c:pt idx="5">
                  <c:v>20.763293922146932</c:v>
                </c:pt>
                <c:pt idx="6">
                  <c:v>18.281154343418425</c:v>
                </c:pt>
                <c:pt idx="7">
                  <c:v>17.426550343418427</c:v>
                </c:pt>
                <c:pt idx="8">
                  <c:v>17.643508390361749</c:v>
                </c:pt>
                <c:pt idx="9">
                  <c:v>16.307527590361747</c:v>
                </c:pt>
                <c:pt idx="10">
                  <c:v>16.443004390361747</c:v>
                </c:pt>
                <c:pt idx="11">
                  <c:v>14.572273510361748</c:v>
                </c:pt>
                <c:pt idx="12">
                  <c:v>13.225774169678363</c:v>
                </c:pt>
                <c:pt idx="13">
                  <c:v>12.758091449678364</c:v>
                </c:pt>
                <c:pt idx="14">
                  <c:v>12.524250089678363</c:v>
                </c:pt>
                <c:pt idx="15">
                  <c:v>12.290408729678362</c:v>
                </c:pt>
                <c:pt idx="16">
                  <c:v>11.948419439452552</c:v>
                </c:pt>
                <c:pt idx="17">
                  <c:v>11.831498759452552</c:v>
                </c:pt>
                <c:pt idx="18">
                  <c:v>11.798092850881124</c:v>
                </c:pt>
                <c:pt idx="19">
                  <c:v>11.773038419452554</c:v>
                </c:pt>
                <c:pt idx="20">
                  <c:v>11.753551639452555</c:v>
                </c:pt>
                <c:pt idx="21">
                  <c:v>10.820141257579371</c:v>
                </c:pt>
                <c:pt idx="22">
                  <c:v>10.807386274306644</c:v>
                </c:pt>
                <c:pt idx="23">
                  <c:v>10.796757121579372</c:v>
                </c:pt>
                <c:pt idx="24">
                  <c:v>10.780054167293656</c:v>
                </c:pt>
                <c:pt idx="25">
                  <c:v>10.773372985579373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13D-46B0-87A4-88C1E58628DF}"/>
            </c:ext>
          </c:extLst>
        </c:ser>
        <c:ser>
          <c:idx val="1"/>
          <c:order val="1"/>
          <c:tx>
            <c:v>ATR Circular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bg1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'Grupo 3 GNL'!$B$10:$B$35</c:f>
              <c:numCache>
                <c:formatCode>#,##0.00</c:formatCode>
                <c:ptCount val="26"/>
                <c:pt idx="0">
                  <c:v>0.5</c:v>
                </c:pt>
                <c:pt idx="1">
                  <c:v>1</c:v>
                </c:pt>
                <c:pt idx="2">
                  <c:v>1.5</c:v>
                </c:pt>
                <c:pt idx="3" formatCode="#,##0.0">
                  <c:v>3</c:v>
                </c:pt>
                <c:pt idx="4" formatCode="#,##0.0">
                  <c:v>5</c:v>
                </c:pt>
                <c:pt idx="5" formatCode="#,##0">
                  <c:v>10</c:v>
                </c:pt>
                <c:pt idx="6" formatCode="#,##0">
                  <c:v>25</c:v>
                </c:pt>
                <c:pt idx="7" formatCode="#,##0">
                  <c:v>50</c:v>
                </c:pt>
                <c:pt idx="8" formatCode="#,##0">
                  <c:v>75</c:v>
                </c:pt>
                <c:pt idx="9" formatCode="#,##0">
                  <c:v>100</c:v>
                </c:pt>
                <c:pt idx="10" formatCode="#,##0">
                  <c:v>150</c:v>
                </c:pt>
                <c:pt idx="11" formatCode="#,##0">
                  <c:v>250</c:v>
                </c:pt>
                <c:pt idx="12" formatCode="#,##0">
                  <c:v>500</c:v>
                </c:pt>
                <c:pt idx="13" formatCode="#,##0">
                  <c:v>750</c:v>
                </c:pt>
                <c:pt idx="14" formatCode="#,##0">
                  <c:v>1000</c:v>
                </c:pt>
                <c:pt idx="15" formatCode="#,##0">
                  <c:v>1500</c:v>
                </c:pt>
                <c:pt idx="16" formatCode="#,##0">
                  <c:v>2000</c:v>
                </c:pt>
                <c:pt idx="17" formatCode="#,##0">
                  <c:v>3000</c:v>
                </c:pt>
                <c:pt idx="18" formatCode="#,##0">
                  <c:v>3500</c:v>
                </c:pt>
                <c:pt idx="19" formatCode="#,##0">
                  <c:v>4000</c:v>
                </c:pt>
                <c:pt idx="20" formatCode="#,##0">
                  <c:v>4500</c:v>
                </c:pt>
                <c:pt idx="21" formatCode="#,##0">
                  <c:v>5000</c:v>
                </c:pt>
                <c:pt idx="22" formatCode="#,##0">
                  <c:v>5500</c:v>
                </c:pt>
                <c:pt idx="23" formatCode="#,##0">
                  <c:v>6000</c:v>
                </c:pt>
                <c:pt idx="24" formatCode="#,##0">
                  <c:v>7000</c:v>
                </c:pt>
                <c:pt idx="25" formatCode="#,##0">
                  <c:v>7500</c:v>
                </c:pt>
              </c:numCache>
            </c:numRef>
          </c:cat>
          <c:val>
            <c:numRef>
              <c:f>'Grupo 3 GNL'!$AJ$10:$AJ$35</c:f>
              <c:numCache>
                <c:formatCode>0.00</c:formatCode>
                <c:ptCount val="26"/>
                <c:pt idx="0">
                  <c:v>30.402865026839734</c:v>
                </c:pt>
                <c:pt idx="1">
                  <c:v>24.246865026839732</c:v>
                </c:pt>
                <c:pt idx="2">
                  <c:v>22.194865026839732</c:v>
                </c:pt>
                <c:pt idx="3">
                  <c:v>20.142865026839733</c:v>
                </c:pt>
                <c:pt idx="4">
                  <c:v>26.091496830773799</c:v>
                </c:pt>
                <c:pt idx="5">
                  <c:v>22.881496830773795</c:v>
                </c:pt>
                <c:pt idx="6">
                  <c:v>23.944544200697159</c:v>
                </c:pt>
                <c:pt idx="7">
                  <c:v>20.599664200697163</c:v>
                </c:pt>
                <c:pt idx="8">
                  <c:v>23.979241563367406</c:v>
                </c:pt>
                <c:pt idx="9">
                  <c:v>22.163681563367405</c:v>
                </c:pt>
                <c:pt idx="10">
                  <c:v>20.348121563367403</c:v>
                </c:pt>
                <c:pt idx="11">
                  <c:v>18.895673563367403</c:v>
                </c:pt>
                <c:pt idx="12">
                  <c:v>22.204733078488701</c:v>
                </c:pt>
                <c:pt idx="13">
                  <c:v>20.429301078488702</c:v>
                </c:pt>
                <c:pt idx="14">
                  <c:v>19.541585078488701</c:v>
                </c:pt>
                <c:pt idx="15">
                  <c:v>18.6538690784887</c:v>
                </c:pt>
                <c:pt idx="16">
                  <c:v>17.595831808623487</c:v>
                </c:pt>
                <c:pt idx="17">
                  <c:v>15.374127808623486</c:v>
                </c:pt>
                <c:pt idx="18">
                  <c:v>14.739355237194914</c:v>
                </c:pt>
                <c:pt idx="19">
                  <c:v>14.263275808623487</c:v>
                </c:pt>
                <c:pt idx="20">
                  <c:v>13.892991808623487</c:v>
                </c:pt>
                <c:pt idx="21">
                  <c:v>12.761935617888801</c:v>
                </c:pt>
                <c:pt idx="22">
                  <c:v>5.8387659186140217</c:v>
                </c:pt>
                <c:pt idx="23">
                  <c:v>5.8387659186140217</c:v>
                </c:pt>
                <c:pt idx="24">
                  <c:v>5.8387659186140208</c:v>
                </c:pt>
                <c:pt idx="25">
                  <c:v>5.8387659186140217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13D-46B0-87A4-88C1E58628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5666432"/>
        <c:axId val="85677184"/>
      </c:lineChart>
      <c:catAx>
        <c:axId val="856664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rgbClr val="0070C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es-ES" sz="1400">
                    <a:solidFill>
                      <a:srgbClr val="0070C0"/>
                    </a:solidFill>
                  </a:rPr>
                  <a:t>Consumo MWh/año</a:t>
                </a:r>
              </a:p>
            </c:rich>
          </c:tx>
          <c:layout>
            <c:manualLayout>
              <c:xMode val="edge"/>
              <c:yMode val="edge"/>
              <c:x val="0.38433481959333399"/>
              <c:y val="0.90283633900601135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.00" sourceLinked="1"/>
        <c:majorTickMark val="cross"/>
        <c:minorTickMark val="none"/>
        <c:tickLblPos val="low"/>
        <c:spPr>
          <a:noFill/>
          <a:ln w="12700" cap="flat" cmpd="sng" algn="ctr">
            <a:solidFill>
              <a:srgbClr val="002060"/>
            </a:solidFill>
            <a:round/>
          </a:ln>
          <a:effectLst/>
        </c:spPr>
        <c:txPr>
          <a:bodyPr rot="-402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rgbClr val="0070C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s-ES"/>
          </a:p>
        </c:txPr>
        <c:crossAx val="85677184"/>
        <c:crossesAt val="0"/>
        <c:auto val="1"/>
        <c:lblAlgn val="ctr"/>
        <c:lblOffset val="100"/>
        <c:noMultiLvlLbl val="0"/>
      </c:catAx>
      <c:valAx>
        <c:axId val="856771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lgDash"/>
              <a:round/>
            </a:ln>
            <a:effectLst/>
          </c:spPr>
        </c:majorGridlines>
        <c:numFmt formatCode="#,##0.00\ &quot;€&quot;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s-ES"/>
          </a:p>
        </c:txPr>
        <c:crossAx val="856664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097191834219587"/>
          <c:y val="0.10998269992093893"/>
          <c:w val="0.35376705208060244"/>
          <c:h val="7.107816765871018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Arial Narrow" panose="020B060602020203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75000"/>
                    <a:lumOff val="25000"/>
                  </a:schemeClr>
                </a:solidFill>
                <a:latin typeface="Arial Rounded MT Bold" panose="020F0704030504030204" pitchFamily="34" charset="0"/>
                <a:ea typeface="+mn-ea"/>
                <a:cs typeface="+mn-cs"/>
              </a:defRPr>
            </a:pPr>
            <a:r>
              <a:rPr lang="el-GR" sz="1400">
                <a:solidFill>
                  <a:schemeClr val="tx1">
                    <a:lumMod val="75000"/>
                    <a:lumOff val="25000"/>
                  </a:schemeClr>
                </a:solidFill>
              </a:rPr>
              <a:t>Δ</a:t>
            </a:r>
            <a:r>
              <a:rPr lang="en-US" sz="1400">
                <a:solidFill>
                  <a:schemeClr val="tx1">
                    <a:lumMod val="75000"/>
                    <a:lumOff val="25000"/>
                  </a:schemeClr>
                </a:solidFill>
                <a:latin typeface="Arial Rounded MT Bold" panose="020F0704030504030204" pitchFamily="34" charset="0"/>
              </a:rPr>
              <a:t> €/MWh ATR Grupo 3 GNL (excepto 3.5)</a:t>
            </a:r>
          </a:p>
        </c:rich>
      </c:tx>
      <c:layout>
        <c:manualLayout>
          <c:xMode val="edge"/>
          <c:yMode val="edge"/>
          <c:x val="0.29691500447752034"/>
          <c:y val="2.2246896468313883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'Grupo 3 GNL'!$AP$9</c:f>
              <c:strCache>
                <c:ptCount val="1"/>
                <c:pt idx="0">
                  <c:v>D €/MWh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020B-4146-ABFB-CF5F94E5D625}"/>
              </c:ext>
            </c:extLst>
          </c:dPt>
          <c:dPt>
            <c:idx val="1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020B-4146-ABFB-CF5F94E5D625}"/>
              </c:ext>
            </c:extLst>
          </c:dPt>
          <c:dPt>
            <c:idx val="2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020B-4146-ABFB-CF5F94E5D625}"/>
              </c:ext>
            </c:extLst>
          </c:dPt>
          <c:dPt>
            <c:idx val="3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020B-4146-ABFB-CF5F94E5D625}"/>
              </c:ext>
            </c:extLst>
          </c:dPt>
          <c:dPt>
            <c:idx val="4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020B-4146-ABFB-CF5F94E5D625}"/>
              </c:ext>
            </c:extLst>
          </c:dPt>
          <c:dPt>
            <c:idx val="22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020B-4146-ABFB-CF5F94E5D625}"/>
              </c:ext>
            </c:extLst>
          </c:dPt>
          <c:dPt>
            <c:idx val="23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020B-4146-ABFB-CF5F94E5D625}"/>
              </c:ext>
            </c:extLst>
          </c:dPt>
          <c:dPt>
            <c:idx val="24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020B-4146-ABFB-CF5F94E5D625}"/>
              </c:ext>
            </c:extLst>
          </c:dPt>
          <c:dPt>
            <c:idx val="25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020B-4146-ABFB-CF5F94E5D625}"/>
              </c:ext>
            </c:extLst>
          </c:dPt>
          <c:dPt>
            <c:idx val="31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020B-4146-ABFB-CF5F94E5D625}"/>
              </c:ext>
            </c:extLst>
          </c:dPt>
          <c:dPt>
            <c:idx val="32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020B-4146-ABFB-CF5F94E5D625}"/>
              </c:ext>
            </c:extLst>
          </c:dPt>
          <c:dPt>
            <c:idx val="33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7-020B-4146-ABFB-CF5F94E5D625}"/>
              </c:ext>
            </c:extLst>
          </c:dPt>
          <c:dPt>
            <c:idx val="34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9-020B-4146-ABFB-CF5F94E5D625}"/>
              </c:ext>
            </c:extLst>
          </c:dPt>
          <c:dPt>
            <c:idx val="35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B-020B-4146-ABFB-CF5F94E5D625}"/>
              </c:ext>
            </c:extLst>
          </c:dPt>
          <c:dLbls>
            <c:dLbl>
              <c:idx val="0"/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0" i="0" u="none" strike="noStrike" kern="1200" baseline="0">
                      <a:solidFill>
                        <a:srgbClr val="00B05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0" i="0" u="none" strike="noStrike" kern="1200" baseline="0">
                      <a:solidFill>
                        <a:srgbClr val="00B05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0" i="0" u="none" strike="noStrike" kern="1200" baseline="0">
                      <a:solidFill>
                        <a:srgbClr val="00B05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0" i="0" u="none" strike="noStrike" kern="1200" baseline="0">
                      <a:solidFill>
                        <a:srgbClr val="00B05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2"/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0" i="0" u="none" strike="noStrike" kern="1200" baseline="0">
                      <a:solidFill>
                        <a:srgbClr val="00B05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3"/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0" i="0" u="none" strike="noStrike" kern="1200" baseline="0">
                      <a:solidFill>
                        <a:srgbClr val="00B05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4"/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0" i="0" u="none" strike="noStrike" kern="1200" baseline="0">
                      <a:solidFill>
                        <a:srgbClr val="00B05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5"/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0" i="0" u="none" strike="noStrike" kern="1200" baseline="0">
                      <a:solidFill>
                        <a:srgbClr val="00B05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rgbClr val="C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'Grupo 3 GNL'!$B$10:$B$35</c:f>
              <c:numCache>
                <c:formatCode>#,##0.00</c:formatCode>
                <c:ptCount val="26"/>
                <c:pt idx="0">
                  <c:v>0.5</c:v>
                </c:pt>
                <c:pt idx="1">
                  <c:v>1</c:v>
                </c:pt>
                <c:pt idx="2">
                  <c:v>1.5</c:v>
                </c:pt>
                <c:pt idx="3" formatCode="#,##0.0">
                  <c:v>3</c:v>
                </c:pt>
                <c:pt idx="4" formatCode="#,##0.0">
                  <c:v>5</c:v>
                </c:pt>
                <c:pt idx="5" formatCode="#,##0">
                  <c:v>10</c:v>
                </c:pt>
                <c:pt idx="6" formatCode="#,##0">
                  <c:v>25</c:v>
                </c:pt>
                <c:pt idx="7" formatCode="#,##0">
                  <c:v>50</c:v>
                </c:pt>
                <c:pt idx="8" formatCode="#,##0">
                  <c:v>75</c:v>
                </c:pt>
                <c:pt idx="9" formatCode="#,##0">
                  <c:v>100</c:v>
                </c:pt>
                <c:pt idx="10" formatCode="#,##0">
                  <c:v>150</c:v>
                </c:pt>
                <c:pt idx="11" formatCode="#,##0">
                  <c:v>250</c:v>
                </c:pt>
                <c:pt idx="12" formatCode="#,##0">
                  <c:v>500</c:v>
                </c:pt>
                <c:pt idx="13" formatCode="#,##0">
                  <c:v>750</c:v>
                </c:pt>
                <c:pt idx="14" formatCode="#,##0">
                  <c:v>1000</c:v>
                </c:pt>
                <c:pt idx="15" formatCode="#,##0">
                  <c:v>1500</c:v>
                </c:pt>
                <c:pt idx="16" formatCode="#,##0">
                  <c:v>2000</c:v>
                </c:pt>
                <c:pt idx="17" formatCode="#,##0">
                  <c:v>3000</c:v>
                </c:pt>
                <c:pt idx="18" formatCode="#,##0">
                  <c:v>3500</c:v>
                </c:pt>
                <c:pt idx="19" formatCode="#,##0">
                  <c:v>4000</c:v>
                </c:pt>
                <c:pt idx="20" formatCode="#,##0">
                  <c:v>4500</c:v>
                </c:pt>
                <c:pt idx="21" formatCode="#,##0">
                  <c:v>5000</c:v>
                </c:pt>
                <c:pt idx="22" formatCode="#,##0">
                  <c:v>5500</c:v>
                </c:pt>
                <c:pt idx="23" formatCode="#,##0">
                  <c:v>6000</c:v>
                </c:pt>
                <c:pt idx="24" formatCode="#,##0">
                  <c:v>7000</c:v>
                </c:pt>
                <c:pt idx="25" formatCode="#,##0">
                  <c:v>7500</c:v>
                </c:pt>
              </c:numCache>
            </c:numRef>
          </c:cat>
          <c:val>
            <c:numRef>
              <c:f>'Grupo 3 GNL'!$AP$10:$AP$35</c:f>
              <c:numCache>
                <c:formatCode>#,##0.00</c:formatCode>
                <c:ptCount val="26"/>
                <c:pt idx="0">
                  <c:v>-27.161623835409181</c:v>
                </c:pt>
                <c:pt idx="1">
                  <c:v>-14.737303835409183</c:v>
                </c:pt>
                <c:pt idx="2">
                  <c:v>-10.595863835409187</c:v>
                </c:pt>
                <c:pt idx="3">
                  <c:v>-6.4544238354091839</c:v>
                </c:pt>
                <c:pt idx="4">
                  <c:v>1.7455099086268682</c:v>
                </c:pt>
                <c:pt idx="5">
                  <c:v>2.1182029086268628</c:v>
                </c:pt>
                <c:pt idx="6">
                  <c:v>5.6633898572787338</c:v>
                </c:pt>
                <c:pt idx="7">
                  <c:v>3.1731138572787358</c:v>
                </c:pt>
                <c:pt idx="8">
                  <c:v>6.3357331730056572</c:v>
                </c:pt>
                <c:pt idx="9">
                  <c:v>5.8561539730056573</c:v>
                </c:pt>
                <c:pt idx="10">
                  <c:v>3.9051171730056566</c:v>
                </c:pt>
                <c:pt idx="11">
                  <c:v>4.3234000530056544</c:v>
                </c:pt>
                <c:pt idx="12">
                  <c:v>8.9789589088103376</c:v>
                </c:pt>
                <c:pt idx="13">
                  <c:v>7.6712096288103382</c:v>
                </c:pt>
                <c:pt idx="14">
                  <c:v>7.0173349888103385</c:v>
                </c:pt>
                <c:pt idx="15">
                  <c:v>6.3634603488103387</c:v>
                </c:pt>
                <c:pt idx="16">
                  <c:v>5.6474123691709348</c:v>
                </c:pt>
                <c:pt idx="17">
                  <c:v>3.5426290491709338</c:v>
                </c:pt>
                <c:pt idx="18">
                  <c:v>2.9412623863137899</c:v>
                </c:pt>
                <c:pt idx="19">
                  <c:v>2.4902373891709324</c:v>
                </c:pt>
                <c:pt idx="20">
                  <c:v>2.1394401691709319</c:v>
                </c:pt>
                <c:pt idx="21">
                  <c:v>1.9417943603094301</c:v>
                </c:pt>
                <c:pt idx="22">
                  <c:v>-4.9686203556926225</c:v>
                </c:pt>
                <c:pt idx="23">
                  <c:v>-4.9579912029653501</c:v>
                </c:pt>
                <c:pt idx="24">
                  <c:v>-4.9412882486796352</c:v>
                </c:pt>
                <c:pt idx="25">
                  <c:v>-4.9346070669653512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C-020B-4146-ABFB-CF5F94E5D6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8"/>
        <c:overlap val="-100"/>
        <c:axId val="85578496"/>
        <c:axId val="85580416"/>
      </c:barChart>
      <c:catAx>
        <c:axId val="855784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rgbClr val="0070C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es-ES" sz="1400">
                    <a:solidFill>
                      <a:srgbClr val="0070C0"/>
                    </a:solidFill>
                  </a:rPr>
                  <a:t>Consumo</a:t>
                </a:r>
                <a:r>
                  <a:rPr lang="es-ES" sz="1400" baseline="0">
                    <a:solidFill>
                      <a:srgbClr val="0070C0"/>
                    </a:solidFill>
                  </a:rPr>
                  <a:t> MWh/año</a:t>
                </a:r>
                <a:endParaRPr lang="es-ES" sz="1400">
                  <a:solidFill>
                    <a:srgbClr val="0070C0"/>
                  </a:solidFill>
                </a:endParaRPr>
              </a:p>
            </c:rich>
          </c:tx>
          <c:layout>
            <c:manualLayout>
              <c:xMode val="edge"/>
              <c:yMode val="edge"/>
              <c:x val="0.43311625440759305"/>
              <c:y val="0.91666652068936316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.00" sourceLinked="1"/>
        <c:majorTickMark val="none"/>
        <c:minorTickMark val="none"/>
        <c:tickLblPos val="low"/>
        <c:spPr>
          <a:noFill/>
          <a:ln w="15875" cap="flat" cmpd="sng" algn="ctr">
            <a:solidFill>
              <a:srgbClr val="002060"/>
            </a:solidFill>
            <a:round/>
          </a:ln>
          <a:effectLst/>
        </c:spPr>
        <c:txPr>
          <a:bodyPr rot="-414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rgbClr val="0070C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s-ES"/>
          </a:p>
        </c:txPr>
        <c:crossAx val="85580416"/>
        <c:crossesAt val="0"/>
        <c:auto val="1"/>
        <c:lblAlgn val="ctr"/>
        <c:lblOffset val="100"/>
        <c:noMultiLvlLbl val="0"/>
      </c:catAx>
      <c:valAx>
        <c:axId val="855804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lgDash"/>
              <a:round/>
            </a:ln>
            <a:effectLst/>
          </c:spPr>
        </c:majorGridlines>
        <c:numFmt formatCode="#,##0\ &quot;€&quot;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rgbClr val="C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s-ES"/>
          </a:p>
        </c:txPr>
        <c:crossAx val="8557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Arial Narrow" panose="020B060602020203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75000"/>
                    <a:lumOff val="25000"/>
                  </a:schemeClr>
                </a:solidFill>
                <a:latin typeface="Arial Rounded MT Bold" panose="020F0704030504030204" pitchFamily="34" charset="0"/>
                <a:ea typeface="+mn-ea"/>
                <a:cs typeface="+mn-cs"/>
              </a:defRPr>
            </a:pPr>
            <a:r>
              <a:rPr lang="el-GR">
                <a:solidFill>
                  <a:schemeClr val="tx1">
                    <a:lumMod val="75000"/>
                    <a:lumOff val="25000"/>
                  </a:schemeClr>
                </a:solidFill>
              </a:rPr>
              <a:t>Δ</a:t>
            </a:r>
            <a:r>
              <a:rPr lang="en-US">
                <a:solidFill>
                  <a:schemeClr val="tx1">
                    <a:lumMod val="75000"/>
                    <a:lumOff val="25000"/>
                  </a:schemeClr>
                </a:solidFill>
                <a:latin typeface="Arial Rounded MT Bold" panose="020F0704030504030204" pitchFamily="34" charset="0"/>
              </a:rPr>
              <a:t> €</a:t>
            </a:r>
            <a:r>
              <a:rPr lang="en-US" baseline="0">
                <a:solidFill>
                  <a:schemeClr val="tx1">
                    <a:lumMod val="75000"/>
                    <a:lumOff val="25000"/>
                  </a:schemeClr>
                </a:solidFill>
                <a:latin typeface="Arial Rounded MT Bold" panose="020F0704030504030204" pitchFamily="34" charset="0"/>
              </a:rPr>
              <a:t> ATR</a:t>
            </a:r>
            <a:r>
              <a:rPr lang="en-US">
                <a:solidFill>
                  <a:schemeClr val="tx1">
                    <a:lumMod val="75000"/>
                    <a:lumOff val="25000"/>
                  </a:schemeClr>
                </a:solidFill>
                <a:latin typeface="Arial Rounded MT Bold" panose="020F0704030504030204" pitchFamily="34" charset="0"/>
              </a:rPr>
              <a:t> Grupo 3 GNL Promedio (excepto 3.5)</a:t>
            </a:r>
          </a:p>
        </c:rich>
      </c:tx>
      <c:layout>
        <c:manualLayout>
          <c:xMode val="edge"/>
          <c:yMode val="edge"/>
          <c:x val="0.26271711869349668"/>
          <c:y val="2.2246987247981926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'Grupo 3 GNL Promedio'!$AN$9</c:f>
              <c:strCache>
                <c:ptCount val="1"/>
                <c:pt idx="0">
                  <c:v>D €/año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bg1"/>
              </a:solidFill>
              <a:ln w="9525">
                <a:solidFill>
                  <a:srgbClr val="C00000"/>
                </a:solidFill>
              </a:ln>
              <a:effectLst/>
            </c:spPr>
          </c:marker>
          <c:dLbls>
            <c:dLbl>
              <c:idx val="0"/>
              <c:spPr/>
              <c:txPr>
                <a:bodyPr/>
                <a:lstStyle/>
                <a:p>
                  <a:pPr>
                    <a:defRPr sz="1400">
                      <a:solidFill>
                        <a:srgbClr val="00B050"/>
                      </a:solidFill>
                    </a:defRPr>
                  </a:pPr>
                  <a:endParaRPr lang="es-E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>
                    <a:solidFill>
                      <a:srgbClr val="C00000"/>
                    </a:solidFill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'Grupo 3 GNL Promedio'!$E$10:$E$13</c:f>
              <c:strCache>
                <c:ptCount val="4"/>
                <c:pt idx="0">
                  <c:v>3.1</c:v>
                </c:pt>
                <c:pt idx="1">
                  <c:v>3.2</c:v>
                </c:pt>
                <c:pt idx="2">
                  <c:v>3.3</c:v>
                </c:pt>
                <c:pt idx="3">
                  <c:v>3.4</c:v>
                </c:pt>
              </c:strCache>
            </c:strRef>
          </c:cat>
          <c:val>
            <c:numRef>
              <c:f>'Grupo 3 GNL Promedio'!$AO$10:$AO$13</c:f>
              <c:numCache>
                <c:formatCode>0%</c:formatCode>
                <c:ptCount val="4"/>
                <c:pt idx="0">
                  <c:v>-0.25188193229396527</c:v>
                </c:pt>
                <c:pt idx="1">
                  <c:v>0.10069097981755405</c:v>
                </c:pt>
                <c:pt idx="2">
                  <c:v>0.35909520829786518</c:v>
                </c:pt>
                <c:pt idx="3">
                  <c:v>0.690654805124714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4AF7-4B05-8A55-537B0B319B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5333120"/>
        <c:axId val="85334656"/>
      </c:lineChart>
      <c:catAx>
        <c:axId val="853331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rgbClr val="0070C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es-ES" sz="1400">
                    <a:solidFill>
                      <a:srgbClr val="0070C0"/>
                    </a:solidFill>
                  </a:rPr>
                  <a:t>Peajes Grupo 3 conectados</a:t>
                </a:r>
                <a:r>
                  <a:rPr lang="es-ES" sz="1400" baseline="0">
                    <a:solidFill>
                      <a:srgbClr val="0070C0"/>
                    </a:solidFill>
                  </a:rPr>
                  <a:t> a PS GNL</a:t>
                </a:r>
                <a:endParaRPr lang="es-ES" sz="1400">
                  <a:solidFill>
                    <a:srgbClr val="0070C0"/>
                  </a:solidFill>
                </a:endParaRPr>
              </a:p>
            </c:rich>
          </c:tx>
          <c:layout>
            <c:manualLayout>
              <c:xMode val="edge"/>
              <c:yMode val="edge"/>
              <c:x val="0.30840886555847186"/>
              <c:y val="0.9305997667672192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cross"/>
        <c:minorTickMark val="none"/>
        <c:tickLblPos val="low"/>
        <c:spPr>
          <a:noFill/>
          <a:ln w="12700" cap="flat" cmpd="sng" algn="ctr">
            <a:solidFill>
              <a:srgbClr val="002060"/>
            </a:solidFill>
            <a:round/>
          </a:ln>
          <a:effectLst/>
        </c:spPr>
        <c:txPr>
          <a:bodyPr rot="-4020000" spcFirstLastPara="1" vertOverflow="ellipsis" wrap="square" anchor="ctr" anchorCtr="1"/>
          <a:lstStyle/>
          <a:p>
            <a:pPr>
              <a:defRPr sz="1400" b="0" i="0" u="none" strike="noStrike" kern="1200" baseline="0">
                <a:solidFill>
                  <a:srgbClr val="0070C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s-ES"/>
          </a:p>
        </c:txPr>
        <c:crossAx val="85334656"/>
        <c:crossesAt val="0"/>
        <c:auto val="1"/>
        <c:lblAlgn val="ctr"/>
        <c:lblOffset val="100"/>
        <c:noMultiLvlLbl val="0"/>
      </c:catAx>
      <c:valAx>
        <c:axId val="85334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lgDash"/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75000"/>
                    <a:lumOff val="2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s-ES"/>
          </a:p>
        </c:txPr>
        <c:crossAx val="853331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Arial Narrow" panose="020B060602020203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75000"/>
                    <a:lumOff val="25000"/>
                  </a:schemeClr>
                </a:solidFill>
                <a:latin typeface="Arial Rounded MT Bold" panose="020F0704030504030204" pitchFamily="34" charset="0"/>
                <a:ea typeface="+mn-ea"/>
                <a:cs typeface="+mn-cs"/>
              </a:defRPr>
            </a:pPr>
            <a:r>
              <a:rPr lang="en-US">
                <a:solidFill>
                  <a:schemeClr val="tx1">
                    <a:lumMod val="75000"/>
                    <a:lumOff val="25000"/>
                  </a:schemeClr>
                </a:solidFill>
                <a:latin typeface="Arial Rounded MT Bold" panose="020F0704030504030204" pitchFamily="34" charset="0"/>
              </a:rPr>
              <a:t>€/MWh</a:t>
            </a:r>
            <a:r>
              <a:rPr lang="en-US" baseline="0">
                <a:solidFill>
                  <a:schemeClr val="tx1">
                    <a:lumMod val="75000"/>
                    <a:lumOff val="25000"/>
                  </a:schemeClr>
                </a:solidFill>
                <a:latin typeface="Arial Rounded MT Bold" panose="020F0704030504030204" pitchFamily="34" charset="0"/>
              </a:rPr>
              <a:t> Peajes ATR</a:t>
            </a:r>
            <a:r>
              <a:rPr lang="en-US">
                <a:solidFill>
                  <a:schemeClr val="tx1">
                    <a:lumMod val="75000"/>
                    <a:lumOff val="25000"/>
                  </a:schemeClr>
                </a:solidFill>
                <a:latin typeface="Arial Rounded MT Bold" panose="020F0704030504030204" pitchFamily="34" charset="0"/>
              </a:rPr>
              <a:t> Grupo 2</a:t>
            </a:r>
          </a:p>
        </c:rich>
      </c:tx>
      <c:layout>
        <c:manualLayout>
          <c:xMode val="edge"/>
          <c:yMode val="edge"/>
          <c:x val="0.37666874591307553"/>
          <c:y val="2.2246899444474812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ATR Actual</c:v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bg1"/>
              </a:solidFill>
              <a:ln w="9525">
                <a:solidFill>
                  <a:srgbClr val="0070C0"/>
                </a:solidFill>
              </a:ln>
              <a:effectLst/>
            </c:spPr>
          </c:marker>
          <c:cat>
            <c:numRef>
              <c:f>'Grupo 2'!$B$10:$B$39</c:f>
              <c:numCache>
                <c:formatCode>#,##0</c:formatCode>
                <c:ptCount val="30"/>
                <c:pt idx="0">
                  <c:v>100</c:v>
                </c:pt>
                <c:pt idx="1">
                  <c:v>500</c:v>
                </c:pt>
                <c:pt idx="2">
                  <c:v>750</c:v>
                </c:pt>
                <c:pt idx="3">
                  <c:v>1000</c:v>
                </c:pt>
                <c:pt idx="4">
                  <c:v>1500</c:v>
                </c:pt>
                <c:pt idx="5">
                  <c:v>3000</c:v>
                </c:pt>
                <c:pt idx="6">
                  <c:v>4000</c:v>
                </c:pt>
                <c:pt idx="7">
                  <c:v>5000</c:v>
                </c:pt>
                <c:pt idx="8">
                  <c:v>7500</c:v>
                </c:pt>
                <c:pt idx="9">
                  <c:v>10000</c:v>
                </c:pt>
                <c:pt idx="10">
                  <c:v>15000</c:v>
                </c:pt>
                <c:pt idx="11">
                  <c:v>20000</c:v>
                </c:pt>
                <c:pt idx="12">
                  <c:v>25000</c:v>
                </c:pt>
                <c:pt idx="13">
                  <c:v>30000</c:v>
                </c:pt>
                <c:pt idx="14">
                  <c:v>35000</c:v>
                </c:pt>
                <c:pt idx="15">
                  <c:v>40000</c:v>
                </c:pt>
                <c:pt idx="16">
                  <c:v>50000</c:v>
                </c:pt>
                <c:pt idx="17">
                  <c:v>75000</c:v>
                </c:pt>
                <c:pt idx="18">
                  <c:v>100000</c:v>
                </c:pt>
                <c:pt idx="19">
                  <c:v>200000</c:v>
                </c:pt>
                <c:pt idx="20">
                  <c:v>250000</c:v>
                </c:pt>
                <c:pt idx="21">
                  <c:v>300000</c:v>
                </c:pt>
                <c:pt idx="22">
                  <c:v>350000</c:v>
                </c:pt>
                <c:pt idx="23">
                  <c:v>400000</c:v>
                </c:pt>
                <c:pt idx="24">
                  <c:v>450000</c:v>
                </c:pt>
                <c:pt idx="25">
                  <c:v>500000</c:v>
                </c:pt>
                <c:pt idx="26">
                  <c:v>700000</c:v>
                </c:pt>
                <c:pt idx="27">
                  <c:v>900000</c:v>
                </c:pt>
                <c:pt idx="28">
                  <c:v>1000000</c:v>
                </c:pt>
                <c:pt idx="29">
                  <c:v>2000000</c:v>
                </c:pt>
              </c:numCache>
            </c:numRef>
          </c:cat>
          <c:val>
            <c:numRef>
              <c:f>'Grupo 2'!$S$10:$S$39</c:f>
              <c:numCache>
                <c:formatCode>0.00</c:formatCode>
                <c:ptCount val="30"/>
                <c:pt idx="0">
                  <c:v>13.015930701047544</c:v>
                </c:pt>
                <c:pt idx="1">
                  <c:v>13.015930701047543</c:v>
                </c:pt>
                <c:pt idx="2">
                  <c:v>5.4937010475423049</c:v>
                </c:pt>
                <c:pt idx="3">
                  <c:v>5.4937010475423049</c:v>
                </c:pt>
                <c:pt idx="4">
                  <c:v>5.4937010475423049</c:v>
                </c:pt>
                <c:pt idx="5">
                  <c:v>5.4937010475423049</c:v>
                </c:pt>
                <c:pt idx="6">
                  <c:v>5.4937010475423049</c:v>
                </c:pt>
                <c:pt idx="7">
                  <c:v>5.4937010475423058</c:v>
                </c:pt>
                <c:pt idx="8">
                  <c:v>4.2825568090249799</c:v>
                </c:pt>
                <c:pt idx="9">
                  <c:v>4.2825568090249799</c:v>
                </c:pt>
                <c:pt idx="10">
                  <c:v>4.2825568090249799</c:v>
                </c:pt>
                <c:pt idx="11">
                  <c:v>4.2825568090249799</c:v>
                </c:pt>
                <c:pt idx="12">
                  <c:v>4.2825568090249799</c:v>
                </c:pt>
                <c:pt idx="13">
                  <c:v>4.2825568090249799</c:v>
                </c:pt>
                <c:pt idx="14">
                  <c:v>4.0090870265914589</c:v>
                </c:pt>
                <c:pt idx="15">
                  <c:v>4.0090870265914589</c:v>
                </c:pt>
                <c:pt idx="16">
                  <c:v>4.0090870265914589</c:v>
                </c:pt>
                <c:pt idx="17">
                  <c:v>4.0090870265914589</c:v>
                </c:pt>
                <c:pt idx="18">
                  <c:v>4.0090870265914589</c:v>
                </c:pt>
                <c:pt idx="19">
                  <c:v>3.7425584206285256</c:v>
                </c:pt>
                <c:pt idx="20">
                  <c:v>3.7425584206285252</c:v>
                </c:pt>
                <c:pt idx="21">
                  <c:v>3.7425584206285252</c:v>
                </c:pt>
                <c:pt idx="22">
                  <c:v>3.7425584206285256</c:v>
                </c:pt>
                <c:pt idx="23">
                  <c:v>3.7425584206285256</c:v>
                </c:pt>
                <c:pt idx="24">
                  <c:v>3.7425584206285256</c:v>
                </c:pt>
                <c:pt idx="25">
                  <c:v>3.7425584206285252</c:v>
                </c:pt>
                <c:pt idx="26">
                  <c:v>3.49401450443191</c:v>
                </c:pt>
                <c:pt idx="27">
                  <c:v>3.4940145044319095</c:v>
                </c:pt>
                <c:pt idx="28">
                  <c:v>3.49401450443191</c:v>
                </c:pt>
                <c:pt idx="29">
                  <c:v>3.49401450443191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DFCD-4518-83F5-7A981078A2E7}"/>
            </c:ext>
          </c:extLst>
        </c:ser>
        <c:ser>
          <c:idx val="1"/>
          <c:order val="1"/>
          <c:tx>
            <c:v>ATR Circular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bg1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'Grupo 2'!$B$10:$B$39</c:f>
              <c:numCache>
                <c:formatCode>#,##0</c:formatCode>
                <c:ptCount val="30"/>
                <c:pt idx="0">
                  <c:v>100</c:v>
                </c:pt>
                <c:pt idx="1">
                  <c:v>500</c:v>
                </c:pt>
                <c:pt idx="2">
                  <c:v>750</c:v>
                </c:pt>
                <c:pt idx="3">
                  <c:v>1000</c:v>
                </c:pt>
                <c:pt idx="4">
                  <c:v>1500</c:v>
                </c:pt>
                <c:pt idx="5">
                  <c:v>3000</c:v>
                </c:pt>
                <c:pt idx="6">
                  <c:v>4000</c:v>
                </c:pt>
                <c:pt idx="7">
                  <c:v>5000</c:v>
                </c:pt>
                <c:pt idx="8">
                  <c:v>7500</c:v>
                </c:pt>
                <c:pt idx="9">
                  <c:v>10000</c:v>
                </c:pt>
                <c:pt idx="10">
                  <c:v>15000</c:v>
                </c:pt>
                <c:pt idx="11">
                  <c:v>20000</c:v>
                </c:pt>
                <c:pt idx="12">
                  <c:v>25000</c:v>
                </c:pt>
                <c:pt idx="13">
                  <c:v>30000</c:v>
                </c:pt>
                <c:pt idx="14">
                  <c:v>35000</c:v>
                </c:pt>
                <c:pt idx="15">
                  <c:v>40000</c:v>
                </c:pt>
                <c:pt idx="16">
                  <c:v>50000</c:v>
                </c:pt>
                <c:pt idx="17">
                  <c:v>75000</c:v>
                </c:pt>
                <c:pt idx="18">
                  <c:v>100000</c:v>
                </c:pt>
                <c:pt idx="19">
                  <c:v>200000</c:v>
                </c:pt>
                <c:pt idx="20">
                  <c:v>250000</c:v>
                </c:pt>
                <c:pt idx="21">
                  <c:v>300000</c:v>
                </c:pt>
                <c:pt idx="22">
                  <c:v>350000</c:v>
                </c:pt>
                <c:pt idx="23">
                  <c:v>400000</c:v>
                </c:pt>
                <c:pt idx="24">
                  <c:v>450000</c:v>
                </c:pt>
                <c:pt idx="25">
                  <c:v>500000</c:v>
                </c:pt>
                <c:pt idx="26">
                  <c:v>700000</c:v>
                </c:pt>
                <c:pt idx="27">
                  <c:v>900000</c:v>
                </c:pt>
                <c:pt idx="28">
                  <c:v>1000000</c:v>
                </c:pt>
                <c:pt idx="29">
                  <c:v>2000000</c:v>
                </c:pt>
              </c:numCache>
            </c:numRef>
          </c:cat>
          <c:val>
            <c:numRef>
              <c:f>'Grupo 2'!$AU$10:$AU$39</c:f>
              <c:numCache>
                <c:formatCode>0.00</c:formatCode>
                <c:ptCount val="30"/>
                <c:pt idx="0">
                  <c:v>22.65903733682514</c:v>
                </c:pt>
                <c:pt idx="1">
                  <c:v>22.648653336825145</c:v>
                </c:pt>
                <c:pt idx="2">
                  <c:v>20.873221336825143</c:v>
                </c:pt>
                <c:pt idx="3">
                  <c:v>19.985505336825142</c:v>
                </c:pt>
                <c:pt idx="4">
                  <c:v>19.097789336825144</c:v>
                </c:pt>
                <c:pt idx="5">
                  <c:v>16.022765336825145</c:v>
                </c:pt>
                <c:pt idx="6">
                  <c:v>14.911913336825142</c:v>
                </c:pt>
                <c:pt idx="7">
                  <c:v>14.245402136825142</c:v>
                </c:pt>
                <c:pt idx="8">
                  <c:v>7.3222324375503636</c:v>
                </c:pt>
                <c:pt idx="9">
                  <c:v>7.3222324375503627</c:v>
                </c:pt>
                <c:pt idx="10">
                  <c:v>7.3222324375503636</c:v>
                </c:pt>
                <c:pt idx="11">
                  <c:v>5.2161051208702656</c:v>
                </c:pt>
                <c:pt idx="12">
                  <c:v>5.2161051208702665</c:v>
                </c:pt>
                <c:pt idx="13">
                  <c:v>5.2161051208702656</c:v>
                </c:pt>
                <c:pt idx="14">
                  <c:v>5.2161051208702665</c:v>
                </c:pt>
                <c:pt idx="15">
                  <c:v>5.2161051208702656</c:v>
                </c:pt>
                <c:pt idx="16">
                  <c:v>5.2161051208702665</c:v>
                </c:pt>
                <c:pt idx="17">
                  <c:v>4.0421921474617237</c:v>
                </c:pt>
                <c:pt idx="18">
                  <c:v>4.0421921474617255</c:v>
                </c:pt>
                <c:pt idx="19">
                  <c:v>3.8033097945205485</c:v>
                </c:pt>
                <c:pt idx="20">
                  <c:v>3.8033097945205476</c:v>
                </c:pt>
                <c:pt idx="21">
                  <c:v>3.8033097945205481</c:v>
                </c:pt>
                <c:pt idx="22">
                  <c:v>3.8033097945205481</c:v>
                </c:pt>
                <c:pt idx="23">
                  <c:v>3.8033097945205485</c:v>
                </c:pt>
                <c:pt idx="24">
                  <c:v>3.8033097945205476</c:v>
                </c:pt>
                <c:pt idx="25">
                  <c:v>3.8033097945205476</c:v>
                </c:pt>
                <c:pt idx="26">
                  <c:v>3.3514999637389202</c:v>
                </c:pt>
                <c:pt idx="27">
                  <c:v>3.3514999637389198</c:v>
                </c:pt>
                <c:pt idx="28">
                  <c:v>3.3514999637389202</c:v>
                </c:pt>
                <c:pt idx="29">
                  <c:v>3.3514999637389202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FCD-4518-83F5-7A981078A2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2699136"/>
        <c:axId val="182701440"/>
      </c:lineChart>
      <c:catAx>
        <c:axId val="1826991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rgbClr val="0070C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es-ES" sz="1400">
                    <a:solidFill>
                      <a:srgbClr val="0070C0"/>
                    </a:solidFill>
                  </a:rPr>
                  <a:t>Consumo MWh/año</a:t>
                </a:r>
              </a:p>
            </c:rich>
          </c:tx>
          <c:layout>
            <c:manualLayout>
              <c:xMode val="edge"/>
              <c:yMode val="edge"/>
              <c:x val="0.38433481959333399"/>
              <c:y val="0.90283633900601135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" sourceLinked="1"/>
        <c:majorTickMark val="cross"/>
        <c:minorTickMark val="none"/>
        <c:tickLblPos val="low"/>
        <c:spPr>
          <a:noFill/>
          <a:ln w="12700" cap="flat" cmpd="sng" algn="ctr">
            <a:solidFill>
              <a:srgbClr val="002060"/>
            </a:solidFill>
            <a:round/>
          </a:ln>
          <a:effectLst/>
        </c:spPr>
        <c:txPr>
          <a:bodyPr rot="-4020000" spcFirstLastPara="1" vertOverflow="ellipsis" wrap="square" anchor="ctr" anchorCtr="1"/>
          <a:lstStyle/>
          <a:p>
            <a:pPr>
              <a:defRPr sz="1050" b="0" i="0" u="none" strike="noStrike" kern="1200" baseline="0">
                <a:solidFill>
                  <a:srgbClr val="0070C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s-ES"/>
          </a:p>
        </c:txPr>
        <c:crossAx val="182701440"/>
        <c:crossesAt val="0"/>
        <c:auto val="1"/>
        <c:lblAlgn val="ctr"/>
        <c:lblOffset val="100"/>
        <c:noMultiLvlLbl val="0"/>
      </c:catAx>
      <c:valAx>
        <c:axId val="182701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lgDash"/>
              <a:round/>
            </a:ln>
            <a:effectLst/>
          </c:spPr>
        </c:majorGridlines>
        <c:numFmt formatCode="#,##0.0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s-ES"/>
          </a:p>
        </c:txPr>
        <c:crossAx val="1826991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Arial Narrow" panose="020B060602020203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75000"/>
                    <a:lumOff val="25000"/>
                  </a:schemeClr>
                </a:solidFill>
                <a:latin typeface="Arial Rounded MT Bold" panose="020F0704030504030204" pitchFamily="34" charset="0"/>
                <a:ea typeface="+mn-ea"/>
                <a:cs typeface="+mn-cs"/>
              </a:defRPr>
            </a:pPr>
            <a:r>
              <a:rPr lang="el-GR" sz="1400" b="1">
                <a:solidFill>
                  <a:schemeClr val="tx1">
                    <a:lumMod val="75000"/>
                    <a:lumOff val="25000"/>
                  </a:schemeClr>
                </a:solidFill>
              </a:rPr>
              <a:t>Δ</a:t>
            </a:r>
            <a:r>
              <a:rPr lang="en-US" sz="1400" b="1">
                <a:solidFill>
                  <a:schemeClr val="tx1">
                    <a:lumMod val="75000"/>
                    <a:lumOff val="25000"/>
                  </a:schemeClr>
                </a:solidFill>
                <a:latin typeface="Arial Rounded MT Bold" panose="020F0704030504030204" pitchFamily="34" charset="0"/>
              </a:rPr>
              <a:t> €/año ATR Grupo 3 GNL Promedio</a:t>
            </a:r>
            <a:r>
              <a:rPr lang="en-US" sz="1400" b="1" baseline="0">
                <a:solidFill>
                  <a:schemeClr val="tx1">
                    <a:lumMod val="75000"/>
                    <a:lumOff val="25000"/>
                  </a:schemeClr>
                </a:solidFill>
                <a:latin typeface="Arial Rounded MT Bold" panose="020F0704030504030204" pitchFamily="34" charset="0"/>
              </a:rPr>
              <a:t> (excepto 3.5)</a:t>
            </a:r>
            <a:endParaRPr lang="en-US" sz="1400" b="1">
              <a:solidFill>
                <a:schemeClr val="tx1">
                  <a:lumMod val="75000"/>
                  <a:lumOff val="25000"/>
                </a:schemeClr>
              </a:solidFill>
              <a:latin typeface="Arial Rounded MT Bold" panose="020F0704030504030204" pitchFamily="34" charset="0"/>
            </a:endParaRPr>
          </a:p>
        </c:rich>
      </c:tx>
      <c:layout>
        <c:manualLayout>
          <c:xMode val="edge"/>
          <c:yMode val="edge"/>
          <c:x val="0.1882196696927127"/>
          <c:y val="3.3370411568409343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'Grupo 3 GNL Promedio'!$AN$9</c:f>
              <c:strCache>
                <c:ptCount val="1"/>
                <c:pt idx="0">
                  <c:v>D €/año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0029-4625-A319-418869061C3F}"/>
              </c:ext>
            </c:extLst>
          </c:dPt>
          <c:dPt>
            <c:idx val="1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2-0029-4625-A319-418869061C3F}"/>
              </c:ext>
            </c:extLst>
          </c:dPt>
          <c:dPt>
            <c:idx val="2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0029-4625-A319-418869061C3F}"/>
              </c:ext>
            </c:extLst>
          </c:dPt>
          <c:dPt>
            <c:idx val="3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4-0029-4625-A319-418869061C3F}"/>
              </c:ext>
            </c:extLst>
          </c:dPt>
          <c:dPt>
            <c:idx val="4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5-0029-4625-A319-418869061C3F}"/>
              </c:ext>
            </c:extLst>
          </c:dPt>
          <c:dPt>
            <c:idx val="31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1EAD-4F78-8D56-B38BDF5076A9}"/>
              </c:ext>
            </c:extLst>
          </c:dPt>
          <c:dPt>
            <c:idx val="32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1EAD-4F78-8D56-B38BDF5076A9}"/>
              </c:ext>
            </c:extLst>
          </c:dPt>
          <c:dPt>
            <c:idx val="33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2-1EAD-4F78-8D56-B38BDF5076A9}"/>
              </c:ext>
            </c:extLst>
          </c:dPt>
          <c:dPt>
            <c:idx val="34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1EAD-4F78-8D56-B38BDF5076A9}"/>
              </c:ext>
            </c:extLst>
          </c:dPt>
          <c:dPt>
            <c:idx val="35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4-1EAD-4F78-8D56-B38BDF5076A9}"/>
              </c:ext>
            </c:extLst>
          </c:dPt>
          <c:dLbls>
            <c:dLbl>
              <c:idx val="0"/>
              <c:numFmt formatCode="#,##0\ &quot;€&quot;" sourceLinked="0"/>
              <c:spPr/>
              <c:txPr>
                <a:bodyPr/>
                <a:lstStyle/>
                <a:p>
                  <a:pPr>
                    <a:defRPr sz="1400">
                      <a:solidFill>
                        <a:srgbClr val="00B050"/>
                      </a:solidFill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\ &quot;€&quot;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>
                    <a:solidFill>
                      <a:srgbClr val="C00000"/>
                    </a:solidFill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'Grupo 3 GNL Promedio'!$E$10:$E$13</c:f>
              <c:strCache>
                <c:ptCount val="4"/>
                <c:pt idx="0">
                  <c:v>3.1</c:v>
                </c:pt>
                <c:pt idx="1">
                  <c:v>3.2</c:v>
                </c:pt>
                <c:pt idx="2">
                  <c:v>3.3</c:v>
                </c:pt>
                <c:pt idx="3">
                  <c:v>3.4</c:v>
                </c:pt>
              </c:strCache>
            </c:strRef>
          </c:cat>
          <c:val>
            <c:numRef>
              <c:f>'Grupo 3 GNL Promedio'!$AN$10:$AN$13</c:f>
              <c:numCache>
                <c:formatCode>#,##0.00\ "€"</c:formatCode>
                <c:ptCount val="4"/>
                <c:pt idx="0">
                  <c:v>-18.761895709021161</c:v>
                </c:pt>
                <c:pt idx="1">
                  <c:v>20.606227739807167</c:v>
                </c:pt>
                <c:pt idx="2">
                  <c:v>459.02549629934242</c:v>
                </c:pt>
                <c:pt idx="3">
                  <c:v>4363.0866776849107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CA9-427B-81F7-669BFC35AC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8"/>
        <c:overlap val="-100"/>
        <c:axId val="85381504"/>
        <c:axId val="85383424"/>
      </c:barChart>
      <c:catAx>
        <c:axId val="853815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rgbClr val="0070C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es-ES" sz="1400">
                    <a:solidFill>
                      <a:srgbClr val="0070C0"/>
                    </a:solidFill>
                  </a:rPr>
                  <a:t>Peajes</a:t>
                </a:r>
                <a:r>
                  <a:rPr lang="es-ES" sz="1400" baseline="0">
                    <a:solidFill>
                      <a:srgbClr val="0070C0"/>
                    </a:solidFill>
                  </a:rPr>
                  <a:t> Grupo 3 conectados a PS GNL</a:t>
                </a:r>
                <a:endParaRPr lang="es-ES" sz="1400">
                  <a:solidFill>
                    <a:srgbClr val="0070C0"/>
                  </a:solidFill>
                </a:endParaRPr>
              </a:p>
            </c:rich>
          </c:tx>
          <c:layout>
            <c:manualLayout>
              <c:xMode val="edge"/>
              <c:yMode val="edge"/>
              <c:x val="0.3354024400157945"/>
              <c:y val="0.9259210229402244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low"/>
        <c:spPr>
          <a:noFill/>
          <a:ln w="15875" cap="flat" cmpd="sng" algn="ctr">
            <a:solidFill>
              <a:srgbClr val="002060"/>
            </a:solidFill>
            <a:round/>
          </a:ln>
          <a:effectLst/>
        </c:spPr>
        <c:txPr>
          <a:bodyPr rot="-4140000" spcFirstLastPara="1" vertOverflow="ellipsis" wrap="square" anchor="ctr" anchorCtr="1"/>
          <a:lstStyle/>
          <a:p>
            <a:pPr>
              <a:defRPr sz="1400" b="0" i="0" u="none" strike="noStrike" kern="1200" baseline="0">
                <a:solidFill>
                  <a:srgbClr val="0070C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s-ES"/>
          </a:p>
        </c:txPr>
        <c:crossAx val="85383424"/>
        <c:crossesAt val="0"/>
        <c:auto val="1"/>
        <c:lblAlgn val="ctr"/>
        <c:lblOffset val="100"/>
        <c:noMultiLvlLbl val="0"/>
      </c:catAx>
      <c:valAx>
        <c:axId val="853834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lgDash"/>
              <a:round/>
            </a:ln>
            <a:effectLst/>
          </c:spPr>
        </c:majorGridlines>
        <c:numFmt formatCode="#,##0\ &quot;€&quot;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75000"/>
                    <a:lumOff val="2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s-ES"/>
          </a:p>
        </c:txPr>
        <c:crossAx val="853815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Arial Narrow" panose="020B060602020203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75000"/>
                    <a:lumOff val="2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en-US" b="1">
                <a:solidFill>
                  <a:schemeClr val="tx1">
                    <a:lumMod val="75000"/>
                    <a:lumOff val="25000"/>
                  </a:schemeClr>
                </a:solidFill>
              </a:rPr>
              <a:t>€/MWh</a:t>
            </a:r>
            <a:r>
              <a:rPr lang="en-US" b="1" baseline="0">
                <a:solidFill>
                  <a:schemeClr val="tx1">
                    <a:lumMod val="75000"/>
                    <a:lumOff val="25000"/>
                  </a:schemeClr>
                </a:solidFill>
              </a:rPr>
              <a:t> Peajes ATR</a:t>
            </a:r>
            <a:r>
              <a:rPr lang="en-US" b="1">
                <a:solidFill>
                  <a:schemeClr val="tx1">
                    <a:lumMod val="75000"/>
                    <a:lumOff val="25000"/>
                  </a:schemeClr>
                </a:solidFill>
              </a:rPr>
              <a:t> Grupo 3 GNL Promedio</a:t>
            </a:r>
            <a:r>
              <a:rPr lang="en-US" b="1" baseline="0">
                <a:solidFill>
                  <a:schemeClr val="tx1">
                    <a:lumMod val="75000"/>
                    <a:lumOff val="25000"/>
                  </a:schemeClr>
                </a:solidFill>
              </a:rPr>
              <a:t> (excepto 3.5)</a:t>
            </a:r>
            <a:endParaRPr lang="en-US" b="1">
              <a:solidFill>
                <a:schemeClr val="tx1">
                  <a:lumMod val="75000"/>
                  <a:lumOff val="25000"/>
                </a:schemeClr>
              </a:solidFill>
            </a:endParaRPr>
          </a:p>
        </c:rich>
      </c:tx>
      <c:layout>
        <c:manualLayout>
          <c:xMode val="edge"/>
          <c:yMode val="edge"/>
          <c:x val="0.18559182721981257"/>
          <c:y val="2.2246899444474812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ATR Actual</c:v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bg1"/>
              </a:solidFill>
              <a:ln w="9525">
                <a:solidFill>
                  <a:srgbClr val="0070C0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3.7334961032832424E-2"/>
                  <c:y val="-5.367190354402633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378-4607-90A9-CAD658BE2DBF}"/>
                </c:ext>
              </c:extLst>
            </c:dLbl>
            <c:dLbl>
              <c:idx val="1"/>
              <c:layout>
                <c:manualLayout>
                  <c:x val="-3.9221990941364929E-2"/>
                  <c:y val="6.324442820606496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378-4607-90A9-CAD658BE2DBF}"/>
                </c:ext>
              </c:extLst>
            </c:dLbl>
            <c:dLbl>
              <c:idx val="2"/>
              <c:layout>
                <c:manualLayout>
                  <c:x val="-4.9204951554094482E-2"/>
                  <c:y val="7.78589696748263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378-4607-90A9-CAD658BE2DB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rgbClr val="0070C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es-E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'Grupo 3 GNL Promedio'!$E$10:$E$13</c:f>
              <c:strCache>
                <c:ptCount val="4"/>
                <c:pt idx="0">
                  <c:v>3.1</c:v>
                </c:pt>
                <c:pt idx="1">
                  <c:v>3.2</c:v>
                </c:pt>
                <c:pt idx="2">
                  <c:v>3.3</c:v>
                </c:pt>
                <c:pt idx="3">
                  <c:v>3.4</c:v>
                </c:pt>
              </c:strCache>
            </c:strRef>
          </c:cat>
          <c:val>
            <c:numRef>
              <c:f>'Grupo 3 GNL Promedio'!$R$10:$R$13</c:f>
              <c:numCache>
                <c:formatCode>0.00</c:formatCode>
                <c:ptCount val="4"/>
                <c:pt idx="0">
                  <c:v>27.184987548380299</c:v>
                </c:pt>
                <c:pt idx="1">
                  <c:v>20.842061273201011</c:v>
                </c:pt>
                <c:pt idx="2">
                  <c:v>17.917434734115165</c:v>
                </c:pt>
                <c:pt idx="3">
                  <c:v>13.299618809678362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E378-4607-90A9-CAD658BE2DBF}"/>
            </c:ext>
          </c:extLst>
        </c:ser>
        <c:ser>
          <c:idx val="1"/>
          <c:order val="1"/>
          <c:tx>
            <c:v>ATR Circular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bg1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dLbl>
              <c:idx val="1"/>
              <c:layout>
                <c:manualLayout>
                  <c:x val="-3.7334961032832389E-2"/>
                  <c:y val="-5.593715747168435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378-4607-90A9-CAD658BE2DBF}"/>
                </c:ext>
              </c:extLst>
            </c:dLbl>
            <c:dLbl>
              <c:idx val="2"/>
              <c:layout>
                <c:manualLayout>
                  <c:x val="-3.733496103283232E-2"/>
                  <c:y val="-5.228352210449400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378-4607-90A9-CAD658BE2DB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accent2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'Grupo 3 GNL Promedio'!$E$10:$E$13</c:f>
              <c:strCache>
                <c:ptCount val="4"/>
                <c:pt idx="0">
                  <c:v>3.1</c:v>
                </c:pt>
                <c:pt idx="1">
                  <c:v>3.2</c:v>
                </c:pt>
                <c:pt idx="2">
                  <c:v>3.3</c:v>
                </c:pt>
                <c:pt idx="3">
                  <c:v>3.4</c:v>
                </c:pt>
              </c:strCache>
            </c:strRef>
          </c:cat>
          <c:val>
            <c:numRef>
              <c:f>'Grupo 3 GNL Promedio'!$AJ$10:$AJ$13</c:f>
              <c:numCache>
                <c:formatCode>0.00</c:formatCode>
                <c:ptCount val="4"/>
                <c:pt idx="0">
                  <c:v>20.337580355306883</c:v>
                </c:pt>
                <c:pt idx="1">
                  <c:v>22.940668844217118</c:v>
                </c:pt>
                <c:pt idx="2">
                  <c:v>24.351499692125657</c:v>
                </c:pt>
                <c:pt idx="3">
                  <c:v>22.485064446909753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E378-4607-90A9-CAD658BE2D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096512"/>
        <c:axId val="86123264"/>
      </c:lineChart>
      <c:catAx>
        <c:axId val="860965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rgbClr val="0070C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es-ES" sz="1400">
                    <a:solidFill>
                      <a:srgbClr val="0070C0"/>
                    </a:solidFill>
                  </a:rPr>
                  <a:t>Peaje Grupo 3</a:t>
                </a:r>
              </a:p>
            </c:rich>
          </c:tx>
          <c:layout>
            <c:manualLayout>
              <c:xMode val="edge"/>
              <c:yMode val="edge"/>
              <c:x val="0.44897047659986333"/>
              <c:y val="0.90283631425867161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cross"/>
        <c:minorTickMark val="none"/>
        <c:tickLblPos val="low"/>
        <c:spPr>
          <a:noFill/>
          <a:ln w="12700" cap="flat" cmpd="sng" algn="ctr">
            <a:solidFill>
              <a:srgbClr val="002060"/>
            </a:solidFill>
            <a:round/>
          </a:ln>
          <a:effectLst/>
        </c:spPr>
        <c:txPr>
          <a:bodyPr rot="-4020000" spcFirstLastPara="1" vertOverflow="ellipsis" wrap="square" anchor="ctr" anchorCtr="1"/>
          <a:lstStyle/>
          <a:p>
            <a:pPr>
              <a:defRPr sz="1400" b="0" i="0" u="none" strike="noStrike" kern="1200" baseline="0">
                <a:solidFill>
                  <a:srgbClr val="0070C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s-ES"/>
          </a:p>
        </c:txPr>
        <c:crossAx val="86123264"/>
        <c:crossesAt val="0"/>
        <c:auto val="1"/>
        <c:lblAlgn val="ctr"/>
        <c:lblOffset val="100"/>
        <c:noMultiLvlLbl val="0"/>
      </c:catAx>
      <c:valAx>
        <c:axId val="861232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lgDash"/>
              <a:round/>
            </a:ln>
            <a:effectLst/>
          </c:spPr>
        </c:majorGridlines>
        <c:numFmt formatCode="#,##0.0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s-ES"/>
          </a:p>
        </c:txPr>
        <c:crossAx val="860965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Arial Narrow" panose="020B060602020203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75000"/>
                    <a:lumOff val="25000"/>
                  </a:schemeClr>
                </a:solidFill>
                <a:latin typeface="Arial Rounded MT Bold" panose="020F0704030504030204" pitchFamily="34" charset="0"/>
                <a:ea typeface="+mn-ea"/>
                <a:cs typeface="+mn-cs"/>
              </a:defRPr>
            </a:pPr>
            <a:r>
              <a:rPr lang="el-GR" sz="1400">
                <a:solidFill>
                  <a:schemeClr val="tx1">
                    <a:lumMod val="75000"/>
                    <a:lumOff val="25000"/>
                  </a:schemeClr>
                </a:solidFill>
              </a:rPr>
              <a:t>Δ</a:t>
            </a:r>
            <a:r>
              <a:rPr lang="en-US" sz="1400">
                <a:solidFill>
                  <a:schemeClr val="tx1">
                    <a:lumMod val="75000"/>
                    <a:lumOff val="25000"/>
                  </a:schemeClr>
                </a:solidFill>
                <a:latin typeface="Arial Rounded MT Bold" panose="020F0704030504030204" pitchFamily="34" charset="0"/>
              </a:rPr>
              <a:t> €/MWh ATR Grupo 3 GNL Promedio</a:t>
            </a:r>
            <a:r>
              <a:rPr lang="en-US" sz="1400" baseline="0">
                <a:solidFill>
                  <a:schemeClr val="tx1">
                    <a:lumMod val="75000"/>
                    <a:lumOff val="25000"/>
                  </a:schemeClr>
                </a:solidFill>
                <a:latin typeface="Arial Rounded MT Bold" panose="020F0704030504030204" pitchFamily="34" charset="0"/>
              </a:rPr>
              <a:t> (excepto 3.5)</a:t>
            </a:r>
            <a:endParaRPr lang="en-US" sz="1400">
              <a:solidFill>
                <a:schemeClr val="tx1">
                  <a:lumMod val="75000"/>
                  <a:lumOff val="25000"/>
                </a:schemeClr>
              </a:solidFill>
              <a:latin typeface="Arial Rounded MT Bold" panose="020F0704030504030204" pitchFamily="34" charset="0"/>
            </a:endParaRPr>
          </a:p>
        </c:rich>
      </c:tx>
      <c:layout>
        <c:manualLayout>
          <c:xMode val="edge"/>
          <c:yMode val="edge"/>
          <c:x val="0.1139540967388689"/>
          <c:y val="1.8755807697950797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'Grupo 3 GNL Promedio'!$AP$9</c:f>
              <c:strCache>
                <c:ptCount val="1"/>
                <c:pt idx="0">
                  <c:v>D €/MWh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809-4EF1-837A-7FD662F78963}"/>
              </c:ext>
            </c:extLst>
          </c:dPt>
          <c:dPt>
            <c:idx val="1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2-5809-4EF1-837A-7FD662F78963}"/>
              </c:ext>
            </c:extLst>
          </c:dPt>
          <c:dPt>
            <c:idx val="2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5809-4EF1-837A-7FD662F78963}"/>
              </c:ext>
            </c:extLst>
          </c:dPt>
          <c:dPt>
            <c:idx val="3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4-5809-4EF1-837A-7FD662F78963}"/>
              </c:ext>
            </c:extLst>
          </c:dPt>
          <c:dPt>
            <c:idx val="4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5-5809-4EF1-837A-7FD662F78963}"/>
              </c:ext>
            </c:extLst>
          </c:dPt>
          <c:dPt>
            <c:idx val="31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6-5809-4EF1-837A-7FD662F78963}"/>
              </c:ext>
            </c:extLst>
          </c:dPt>
          <c:dPt>
            <c:idx val="32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7-5809-4EF1-837A-7FD662F78963}"/>
              </c:ext>
            </c:extLst>
          </c:dPt>
          <c:dPt>
            <c:idx val="33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8-5809-4EF1-837A-7FD662F78963}"/>
              </c:ext>
            </c:extLst>
          </c:dPt>
          <c:dPt>
            <c:idx val="34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9-5809-4EF1-837A-7FD662F78963}"/>
              </c:ext>
            </c:extLst>
          </c:dPt>
          <c:dPt>
            <c:idx val="35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A-5809-4EF1-837A-7FD662F78963}"/>
              </c:ext>
            </c:extLst>
          </c:dPt>
          <c:dLbls>
            <c:dLbl>
              <c:idx val="0"/>
              <c:numFmt formatCode="#,##0.00" sourceLinked="0"/>
              <c:spPr/>
              <c:txPr>
                <a:bodyPr/>
                <a:lstStyle/>
                <a:p>
                  <a:pPr>
                    <a:defRPr sz="1400">
                      <a:solidFill>
                        <a:srgbClr val="00B050"/>
                      </a:solidFill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>
                    <a:solidFill>
                      <a:srgbClr val="C00000"/>
                    </a:solidFill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'Grupo 3 GNL Promedio'!$E$10:$E$13</c:f>
              <c:strCache>
                <c:ptCount val="4"/>
                <c:pt idx="0">
                  <c:v>3.1</c:v>
                </c:pt>
                <c:pt idx="1">
                  <c:v>3.2</c:v>
                </c:pt>
                <c:pt idx="2">
                  <c:v>3.3</c:v>
                </c:pt>
                <c:pt idx="3">
                  <c:v>3.4</c:v>
                </c:pt>
              </c:strCache>
            </c:strRef>
          </c:cat>
          <c:val>
            <c:numRef>
              <c:f>'Grupo 3 GNL Promedio'!$AP$10:$AP$13</c:f>
              <c:numCache>
                <c:formatCode>#,##0.00</c:formatCode>
                <c:ptCount val="4"/>
                <c:pt idx="0">
                  <c:v>-6.8474071930734155</c:v>
                </c:pt>
                <c:pt idx="1">
                  <c:v>2.0986075710161067</c:v>
                </c:pt>
                <c:pt idx="2">
                  <c:v>6.4340649580104916</c:v>
                </c:pt>
                <c:pt idx="3">
                  <c:v>9.1854456372313908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5809-4EF1-837A-7FD662F789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8"/>
        <c:overlap val="-100"/>
        <c:axId val="86149760"/>
        <c:axId val="86164224"/>
      </c:barChart>
      <c:catAx>
        <c:axId val="861497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rgbClr val="0070C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es-ES" sz="1400">
                    <a:solidFill>
                      <a:srgbClr val="0070C0"/>
                    </a:solidFill>
                  </a:rPr>
                  <a:t>Peajes</a:t>
                </a:r>
                <a:r>
                  <a:rPr lang="es-ES" sz="1400" baseline="0">
                    <a:solidFill>
                      <a:srgbClr val="0070C0"/>
                    </a:solidFill>
                  </a:rPr>
                  <a:t> Grupo 3 conectados a PS GNL</a:t>
                </a:r>
                <a:endParaRPr lang="es-ES" sz="1400">
                  <a:solidFill>
                    <a:srgbClr val="0070C0"/>
                  </a:solidFill>
                </a:endParaRPr>
              </a:p>
            </c:rich>
          </c:tx>
          <c:layout>
            <c:manualLayout>
              <c:xMode val="edge"/>
              <c:yMode val="edge"/>
              <c:x val="0.3354024400157945"/>
              <c:y val="0.9259210229402244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low"/>
        <c:spPr>
          <a:noFill/>
          <a:ln w="15875" cap="flat" cmpd="sng" algn="ctr">
            <a:solidFill>
              <a:srgbClr val="002060"/>
            </a:solidFill>
            <a:round/>
          </a:ln>
          <a:effectLst/>
        </c:spPr>
        <c:txPr>
          <a:bodyPr rot="-4140000" spcFirstLastPara="1" vertOverflow="ellipsis" wrap="square" anchor="ctr" anchorCtr="1"/>
          <a:lstStyle/>
          <a:p>
            <a:pPr>
              <a:defRPr sz="1400" b="0" i="0" u="none" strike="noStrike" kern="1200" baseline="0">
                <a:solidFill>
                  <a:srgbClr val="0070C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s-ES"/>
          </a:p>
        </c:txPr>
        <c:crossAx val="86164224"/>
        <c:crossesAt val="0"/>
        <c:auto val="1"/>
        <c:lblAlgn val="ctr"/>
        <c:lblOffset val="100"/>
        <c:noMultiLvlLbl val="0"/>
      </c:catAx>
      <c:valAx>
        <c:axId val="861642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lgDash"/>
              <a:round/>
            </a:ln>
            <a:effectLst/>
          </c:spPr>
        </c:majorGridlines>
        <c:numFmt formatCode="#,##0\ &quot;€&quot;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75000"/>
                    <a:lumOff val="2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s-ES"/>
          </a:p>
        </c:txPr>
        <c:crossAx val="861497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Arial Narrow" panose="020B060602020203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75000"/>
                    <a:lumOff val="25000"/>
                  </a:schemeClr>
                </a:solidFill>
                <a:latin typeface="Arial Rounded MT Bold" panose="020F0704030504030204" pitchFamily="34" charset="0"/>
                <a:ea typeface="+mn-ea"/>
                <a:cs typeface="+mn-cs"/>
              </a:defRPr>
            </a:pPr>
            <a:r>
              <a:rPr lang="el-GR" sz="1400">
                <a:solidFill>
                  <a:schemeClr val="tx1">
                    <a:lumMod val="75000"/>
                    <a:lumOff val="25000"/>
                  </a:schemeClr>
                </a:solidFill>
              </a:rPr>
              <a:t>Δ</a:t>
            </a:r>
            <a:r>
              <a:rPr lang="en-US" sz="1400">
                <a:solidFill>
                  <a:schemeClr val="tx1">
                    <a:lumMod val="75000"/>
                    <a:lumOff val="25000"/>
                  </a:schemeClr>
                </a:solidFill>
                <a:latin typeface="Arial Rounded MT Bold" panose="020F0704030504030204" pitchFamily="34" charset="0"/>
              </a:rPr>
              <a:t> €/año ATR</a:t>
            </a:r>
            <a:r>
              <a:rPr lang="en-US" sz="1400" baseline="0">
                <a:solidFill>
                  <a:schemeClr val="tx1">
                    <a:lumMod val="75000"/>
                    <a:lumOff val="25000"/>
                  </a:schemeClr>
                </a:solidFill>
                <a:latin typeface="Arial Rounded MT Bold" panose="020F0704030504030204" pitchFamily="34" charset="0"/>
              </a:rPr>
              <a:t> Vs </a:t>
            </a:r>
            <a:r>
              <a:rPr lang="en-US" sz="1400">
                <a:solidFill>
                  <a:schemeClr val="tx1">
                    <a:lumMod val="75000"/>
                    <a:lumOff val="25000"/>
                  </a:schemeClr>
                </a:solidFill>
                <a:latin typeface="Arial Rounded MT Bold" panose="020F0704030504030204" pitchFamily="34" charset="0"/>
              </a:rPr>
              <a:t> PS</a:t>
            </a:r>
            <a:r>
              <a:rPr lang="en-US" sz="1400" baseline="0">
                <a:solidFill>
                  <a:schemeClr val="tx1">
                    <a:lumMod val="75000"/>
                    <a:lumOff val="25000"/>
                  </a:schemeClr>
                </a:solidFill>
                <a:latin typeface="Arial Rounded MT Bold" panose="020F0704030504030204" pitchFamily="34" charset="0"/>
              </a:rPr>
              <a:t> GNL Monocliente</a:t>
            </a:r>
            <a:endParaRPr lang="en-US" sz="1400">
              <a:solidFill>
                <a:schemeClr val="tx1">
                  <a:lumMod val="75000"/>
                  <a:lumOff val="25000"/>
                </a:schemeClr>
              </a:solidFill>
              <a:latin typeface="Arial Rounded MT Bold" panose="020F0704030504030204" pitchFamily="34" charset="0"/>
            </a:endParaRPr>
          </a:p>
        </c:rich>
      </c:tx>
      <c:layout>
        <c:manualLayout>
          <c:xMode val="edge"/>
          <c:yMode val="edge"/>
          <c:x val="0.36188630593185983"/>
          <c:y val="2.7763500639799307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'PS GNL Monocliente'!$AS$9</c:f>
              <c:strCache>
                <c:ptCount val="1"/>
                <c:pt idx="0">
                  <c:v>D €/año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Pt>
            <c:idx val="20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1C75-422F-8C79-5F71DE1E2138}"/>
              </c:ext>
            </c:extLst>
          </c:dPt>
          <c:dPt>
            <c:idx val="21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1C75-422F-8C79-5F71DE1E2138}"/>
              </c:ext>
            </c:extLst>
          </c:dPt>
          <c:dPt>
            <c:idx val="22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1C75-422F-8C79-5F71DE1E2138}"/>
              </c:ext>
            </c:extLst>
          </c:dPt>
          <c:dPt>
            <c:idx val="23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1C75-422F-8C79-5F71DE1E2138}"/>
              </c:ext>
            </c:extLst>
          </c:dPt>
          <c:dPt>
            <c:idx val="24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1C75-422F-8C79-5F71DE1E2138}"/>
              </c:ext>
            </c:extLst>
          </c:dPt>
          <c:dPt>
            <c:idx val="25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1C75-422F-8C79-5F71DE1E2138}"/>
              </c:ext>
            </c:extLst>
          </c:dPt>
          <c:dPt>
            <c:idx val="26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1C75-422F-8C79-5F71DE1E2138}"/>
              </c:ext>
            </c:extLst>
          </c:dPt>
          <c:dPt>
            <c:idx val="27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1C75-422F-8C79-5F71DE1E2138}"/>
              </c:ext>
            </c:extLst>
          </c:dPt>
          <c:dPt>
            <c:idx val="28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1C75-422F-8C79-5F71DE1E2138}"/>
              </c:ext>
            </c:extLst>
          </c:dPt>
          <c:dPt>
            <c:idx val="29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1C75-422F-8C79-5F71DE1E2138}"/>
              </c:ext>
            </c:extLst>
          </c:dPt>
          <c:dPt>
            <c:idx val="30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1C75-422F-8C79-5F71DE1E2138}"/>
              </c:ext>
            </c:extLst>
          </c:dPt>
          <c:dPt>
            <c:idx val="31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7-1C75-422F-8C79-5F71DE1E2138}"/>
              </c:ext>
            </c:extLst>
          </c:dPt>
          <c:dLbls>
            <c:numFmt formatCode="#,##0\ &quot;€&quot;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>
                    <a:solidFill>
                      <a:srgbClr val="C00000"/>
                    </a:solidFill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'PS GNL Monocliente'!$B$10:$B$25</c:f>
              <c:numCache>
                <c:formatCode>#,##0</c:formatCode>
                <c:ptCount val="16"/>
                <c:pt idx="0">
                  <c:v>1000</c:v>
                </c:pt>
                <c:pt idx="1">
                  <c:v>1500</c:v>
                </c:pt>
                <c:pt idx="2">
                  <c:v>2500</c:v>
                </c:pt>
                <c:pt idx="3">
                  <c:v>3000</c:v>
                </c:pt>
                <c:pt idx="4">
                  <c:v>4000</c:v>
                </c:pt>
                <c:pt idx="5">
                  <c:v>5000</c:v>
                </c:pt>
                <c:pt idx="6">
                  <c:v>8000</c:v>
                </c:pt>
                <c:pt idx="7">
                  <c:v>10000</c:v>
                </c:pt>
                <c:pt idx="8">
                  <c:v>15000</c:v>
                </c:pt>
                <c:pt idx="9">
                  <c:v>20000</c:v>
                </c:pt>
                <c:pt idx="10">
                  <c:v>25000</c:v>
                </c:pt>
                <c:pt idx="11">
                  <c:v>30000</c:v>
                </c:pt>
                <c:pt idx="12">
                  <c:v>35000</c:v>
                </c:pt>
                <c:pt idx="13">
                  <c:v>40000</c:v>
                </c:pt>
                <c:pt idx="14">
                  <c:v>45000</c:v>
                </c:pt>
                <c:pt idx="15">
                  <c:v>50000</c:v>
                </c:pt>
              </c:numCache>
            </c:numRef>
          </c:cat>
          <c:val>
            <c:numRef>
              <c:f>'PS GNL Monocliente'!$AS$10:$AS$25</c:f>
              <c:numCache>
                <c:formatCode>#,##0.00\ "€"</c:formatCode>
                <c:ptCount val="16"/>
                <c:pt idx="0">
                  <c:v>17004.312931634755</c:v>
                </c:pt>
                <c:pt idx="1">
                  <c:v>24174.895397452136</c:v>
                </c:pt>
                <c:pt idx="2">
                  <c:v>34825.63632908689</c:v>
                </c:pt>
                <c:pt idx="3">
                  <c:v>39124.718794904271</c:v>
                </c:pt>
                <c:pt idx="4">
                  <c:v>47722.883726539025</c:v>
                </c:pt>
                <c:pt idx="5">
                  <c:v>56321.048658173779</c:v>
                </c:pt>
                <c:pt idx="6">
                  <c:v>34728.320258879816</c:v>
                </c:pt>
                <c:pt idx="7">
                  <c:v>43410.400323599759</c:v>
                </c:pt>
                <c:pt idx="8">
                  <c:v>65115.600485399656</c:v>
                </c:pt>
                <c:pt idx="9">
                  <c:v>44698.254313597587</c:v>
                </c:pt>
                <c:pt idx="10">
                  <c:v>55872.817891997009</c:v>
                </c:pt>
                <c:pt idx="11">
                  <c:v>67047.381470396358</c:v>
                </c:pt>
                <c:pt idx="12">
                  <c:v>78221.945048795795</c:v>
                </c:pt>
                <c:pt idx="13">
                  <c:v>89396.508627195173</c:v>
                </c:pt>
                <c:pt idx="14">
                  <c:v>100571.07220559457</c:v>
                </c:pt>
                <c:pt idx="15">
                  <c:v>111745.63578399402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8-1C75-422F-8C79-5F71DE1E21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8"/>
        <c:overlap val="-100"/>
        <c:axId val="85929984"/>
        <c:axId val="85931904"/>
      </c:barChart>
      <c:catAx>
        <c:axId val="859299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rgbClr val="0070C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es-ES" sz="1400">
                    <a:solidFill>
                      <a:srgbClr val="0070C0"/>
                    </a:solidFill>
                  </a:rPr>
                  <a:t>Consumo</a:t>
                </a:r>
                <a:r>
                  <a:rPr lang="es-ES" sz="1400" baseline="0">
                    <a:solidFill>
                      <a:srgbClr val="0070C0"/>
                    </a:solidFill>
                  </a:rPr>
                  <a:t> MWh/año</a:t>
                </a:r>
                <a:endParaRPr lang="es-ES" sz="1400">
                  <a:solidFill>
                    <a:srgbClr val="0070C0"/>
                  </a:solidFill>
                </a:endParaRPr>
              </a:p>
            </c:rich>
          </c:tx>
          <c:layout>
            <c:manualLayout>
              <c:xMode val="edge"/>
              <c:yMode val="edge"/>
              <c:x val="0.43311625440759305"/>
              <c:y val="0.91666652068936316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" sourceLinked="1"/>
        <c:majorTickMark val="cross"/>
        <c:minorTickMark val="none"/>
        <c:tickLblPos val="low"/>
        <c:spPr>
          <a:noFill/>
          <a:ln w="15875" cap="flat" cmpd="sng" algn="ctr">
            <a:solidFill>
              <a:srgbClr val="002060"/>
            </a:solidFill>
            <a:round/>
          </a:ln>
          <a:effectLst/>
        </c:spPr>
        <c:txPr>
          <a:bodyPr rot="-414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rgbClr val="0070C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s-ES"/>
          </a:p>
        </c:txPr>
        <c:crossAx val="85931904"/>
        <c:crossesAt val="0"/>
        <c:auto val="1"/>
        <c:lblAlgn val="ctr"/>
        <c:lblOffset val="100"/>
        <c:noMultiLvlLbl val="0"/>
      </c:catAx>
      <c:valAx>
        <c:axId val="859319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lgDash"/>
              <a:round/>
            </a:ln>
            <a:effectLst/>
          </c:spPr>
        </c:majorGridlines>
        <c:numFmt formatCode="#,##0\ &quot;€&quot;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75000"/>
                    <a:lumOff val="2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s-ES"/>
          </a:p>
        </c:txPr>
        <c:crossAx val="859299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Arial Narrow" panose="020B060602020203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75000"/>
                    <a:lumOff val="25000"/>
                  </a:schemeClr>
                </a:solidFill>
                <a:latin typeface="Arial Rounded MT Bold" panose="020F0704030504030204" pitchFamily="34" charset="0"/>
                <a:ea typeface="+mn-ea"/>
                <a:cs typeface="+mn-cs"/>
              </a:defRPr>
            </a:pPr>
            <a:r>
              <a:rPr lang="el-GR">
                <a:solidFill>
                  <a:schemeClr val="tx1">
                    <a:lumMod val="75000"/>
                    <a:lumOff val="25000"/>
                  </a:schemeClr>
                </a:solidFill>
              </a:rPr>
              <a:t>Δ</a:t>
            </a:r>
            <a:r>
              <a:rPr lang="en-US">
                <a:solidFill>
                  <a:schemeClr val="tx1">
                    <a:lumMod val="75000"/>
                    <a:lumOff val="25000"/>
                  </a:schemeClr>
                </a:solidFill>
                <a:latin typeface="Arial Rounded MT Bold" panose="020F0704030504030204" pitchFamily="34" charset="0"/>
              </a:rPr>
              <a:t> €</a:t>
            </a:r>
            <a:r>
              <a:rPr lang="en-US" baseline="0">
                <a:solidFill>
                  <a:schemeClr val="tx1">
                    <a:lumMod val="75000"/>
                    <a:lumOff val="25000"/>
                  </a:schemeClr>
                </a:solidFill>
                <a:latin typeface="Arial Rounded MT Bold" panose="020F0704030504030204" pitchFamily="34" charset="0"/>
              </a:rPr>
              <a:t> ATR Vs</a:t>
            </a:r>
            <a:r>
              <a:rPr lang="en-US">
                <a:solidFill>
                  <a:schemeClr val="tx1">
                    <a:lumMod val="75000"/>
                    <a:lumOff val="25000"/>
                  </a:schemeClr>
                </a:solidFill>
                <a:latin typeface="Arial Rounded MT Bold" panose="020F0704030504030204" pitchFamily="34" charset="0"/>
              </a:rPr>
              <a:t> PS GNL</a:t>
            </a:r>
            <a:r>
              <a:rPr lang="en-US" baseline="0">
                <a:solidFill>
                  <a:schemeClr val="tx1">
                    <a:lumMod val="75000"/>
                    <a:lumOff val="25000"/>
                  </a:schemeClr>
                </a:solidFill>
                <a:latin typeface="Arial Rounded MT Bold" panose="020F0704030504030204" pitchFamily="34" charset="0"/>
              </a:rPr>
              <a:t> Monocliente</a:t>
            </a:r>
            <a:endParaRPr lang="en-US">
              <a:solidFill>
                <a:schemeClr val="tx1">
                  <a:lumMod val="75000"/>
                  <a:lumOff val="25000"/>
                </a:schemeClr>
              </a:solidFill>
              <a:latin typeface="Arial Rounded MT Bold" panose="020F0704030504030204" pitchFamily="34" charset="0"/>
            </a:endParaRPr>
          </a:p>
        </c:rich>
      </c:tx>
      <c:layout>
        <c:manualLayout>
          <c:xMode val="edge"/>
          <c:yMode val="edge"/>
          <c:x val="0.37191841660021546"/>
          <c:y val="2.2247005590463349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'PS GNL Monocliente'!$AS$9</c:f>
              <c:strCache>
                <c:ptCount val="1"/>
                <c:pt idx="0">
                  <c:v>D €/año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bg1"/>
              </a:solidFill>
              <a:ln w="9525">
                <a:solidFill>
                  <a:srgbClr val="C00000"/>
                </a:solidFill>
              </a:ln>
              <a:effectLst/>
            </c:spPr>
          </c:marker>
          <c:dLbls>
            <c:dLbl>
              <c:idx val="6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142-45F9-BA65-5AADA39C8A98}"/>
                </c:ext>
              </c:extLst>
            </c:dLbl>
            <c:dLbl>
              <c:idx val="8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142-45F9-BA65-5AADA39C8A98}"/>
                </c:ext>
              </c:extLst>
            </c:dLbl>
            <c:dLbl>
              <c:idx val="9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142-45F9-BA65-5AADA39C8A98}"/>
                </c:ext>
              </c:extLst>
            </c:dLbl>
            <c:dLbl>
              <c:idx val="10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142-45F9-BA65-5AADA39C8A98}"/>
                </c:ext>
              </c:extLst>
            </c:dLbl>
            <c:dLbl>
              <c:idx val="12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142-45F9-BA65-5AADA39C8A98}"/>
                </c:ext>
              </c:extLst>
            </c:dLbl>
            <c:dLbl>
              <c:idx val="13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142-45F9-BA65-5AADA39C8A98}"/>
                </c:ext>
              </c:extLst>
            </c:dLbl>
            <c:dLbl>
              <c:idx val="14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142-45F9-BA65-5AADA39C8A98}"/>
                </c:ext>
              </c:extLst>
            </c:dLbl>
            <c:dLbl>
              <c:idx val="15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142-45F9-BA65-5AADA39C8A9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>
                    <a:solidFill>
                      <a:srgbClr val="C00000"/>
                    </a:solidFill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'PS GNL Monocliente'!$B$10:$B$25</c:f>
              <c:numCache>
                <c:formatCode>#,##0</c:formatCode>
                <c:ptCount val="16"/>
                <c:pt idx="0">
                  <c:v>1000</c:v>
                </c:pt>
                <c:pt idx="1">
                  <c:v>1500</c:v>
                </c:pt>
                <c:pt idx="2">
                  <c:v>2500</c:v>
                </c:pt>
                <c:pt idx="3">
                  <c:v>3000</c:v>
                </c:pt>
                <c:pt idx="4">
                  <c:v>4000</c:v>
                </c:pt>
                <c:pt idx="5">
                  <c:v>5000</c:v>
                </c:pt>
                <c:pt idx="6">
                  <c:v>8000</c:v>
                </c:pt>
                <c:pt idx="7">
                  <c:v>10000</c:v>
                </c:pt>
                <c:pt idx="8">
                  <c:v>15000</c:v>
                </c:pt>
                <c:pt idx="9">
                  <c:v>20000</c:v>
                </c:pt>
                <c:pt idx="10">
                  <c:v>25000</c:v>
                </c:pt>
                <c:pt idx="11">
                  <c:v>30000</c:v>
                </c:pt>
                <c:pt idx="12">
                  <c:v>35000</c:v>
                </c:pt>
                <c:pt idx="13">
                  <c:v>40000</c:v>
                </c:pt>
                <c:pt idx="14">
                  <c:v>45000</c:v>
                </c:pt>
                <c:pt idx="15">
                  <c:v>50000</c:v>
                </c:pt>
              </c:numCache>
            </c:numRef>
          </c:cat>
          <c:val>
            <c:numRef>
              <c:f>'PS GNL Monocliente'!$AT$10:$AT$25</c:f>
              <c:numCache>
                <c:formatCode>0%</c:formatCode>
                <c:ptCount val="16"/>
                <c:pt idx="0">
                  <c:v>0.85083227294246766</c:v>
                </c:pt>
                <c:pt idx="1">
                  <c:v>0.84389856058146329</c:v>
                </c:pt>
                <c:pt idx="2">
                  <c:v>0.82371748459330485</c:v>
                </c:pt>
                <c:pt idx="3">
                  <c:v>0.81394020679197565</c:v>
                </c:pt>
                <c:pt idx="4">
                  <c:v>0.80007981954748242</c:v>
                </c:pt>
                <c:pt idx="5">
                  <c:v>0.79072599168795377</c:v>
                </c:pt>
                <c:pt idx="6">
                  <c:v>0.59285744742245061</c:v>
                </c:pt>
                <c:pt idx="7">
                  <c:v>0.5928574474224505</c:v>
                </c:pt>
                <c:pt idx="8">
                  <c:v>0.59285744742245061</c:v>
                </c:pt>
                <c:pt idx="9">
                  <c:v>0.42846389478189845</c:v>
                </c:pt>
                <c:pt idx="10">
                  <c:v>0.42846389478189856</c:v>
                </c:pt>
                <c:pt idx="11">
                  <c:v>0.42846389478189834</c:v>
                </c:pt>
                <c:pt idx="12">
                  <c:v>0.4284638947818985</c:v>
                </c:pt>
                <c:pt idx="13">
                  <c:v>0.42846389478189845</c:v>
                </c:pt>
                <c:pt idx="14">
                  <c:v>0.4284638947818985</c:v>
                </c:pt>
                <c:pt idx="15">
                  <c:v>0.42846389478189856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4FC-412F-82BC-959F9C63B5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5981056"/>
        <c:axId val="86003712"/>
      </c:lineChart>
      <c:catAx>
        <c:axId val="859810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rgbClr val="0070C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es-ES" sz="1400">
                    <a:solidFill>
                      <a:srgbClr val="0070C0"/>
                    </a:solidFill>
                  </a:rPr>
                  <a:t>Consumo MWh/año</a:t>
                </a:r>
              </a:p>
            </c:rich>
          </c:tx>
          <c:layout>
            <c:manualLayout>
              <c:xMode val="edge"/>
              <c:yMode val="edge"/>
              <c:x val="0.38433481959333399"/>
              <c:y val="0.90283633900601135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" sourceLinked="1"/>
        <c:majorTickMark val="cross"/>
        <c:minorTickMark val="none"/>
        <c:tickLblPos val="low"/>
        <c:spPr>
          <a:noFill/>
          <a:ln w="12700" cap="flat" cmpd="sng" algn="ctr">
            <a:solidFill>
              <a:srgbClr val="002060"/>
            </a:solidFill>
            <a:round/>
          </a:ln>
          <a:effectLst/>
        </c:spPr>
        <c:txPr>
          <a:bodyPr rot="-402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rgbClr val="0070C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s-ES"/>
          </a:p>
        </c:txPr>
        <c:crossAx val="86003712"/>
        <c:crossesAt val="0"/>
        <c:auto val="1"/>
        <c:lblAlgn val="ctr"/>
        <c:lblOffset val="100"/>
        <c:noMultiLvlLbl val="0"/>
      </c:catAx>
      <c:valAx>
        <c:axId val="86003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lgDash"/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75000"/>
                    <a:lumOff val="2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s-ES"/>
          </a:p>
        </c:txPr>
        <c:crossAx val="859810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Arial Narrow" panose="020B060602020203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75000"/>
                    <a:lumOff val="25000"/>
                  </a:schemeClr>
                </a:solidFill>
                <a:latin typeface="Arial Rounded MT Bold" panose="020F0704030504030204" pitchFamily="34" charset="0"/>
                <a:ea typeface="+mn-ea"/>
                <a:cs typeface="+mn-cs"/>
              </a:defRPr>
            </a:pPr>
            <a:r>
              <a:rPr lang="en-US">
                <a:solidFill>
                  <a:schemeClr val="tx1">
                    <a:lumMod val="75000"/>
                    <a:lumOff val="25000"/>
                  </a:schemeClr>
                </a:solidFill>
                <a:latin typeface="Arial Rounded MT Bold" panose="020F0704030504030204" pitchFamily="34" charset="0"/>
              </a:rPr>
              <a:t>€/MWh</a:t>
            </a:r>
            <a:r>
              <a:rPr lang="en-US" baseline="0">
                <a:solidFill>
                  <a:schemeClr val="tx1">
                    <a:lumMod val="75000"/>
                    <a:lumOff val="25000"/>
                  </a:schemeClr>
                </a:solidFill>
                <a:latin typeface="Arial Rounded MT Bold" panose="020F0704030504030204" pitchFamily="34" charset="0"/>
              </a:rPr>
              <a:t> Peajes ATR</a:t>
            </a:r>
            <a:r>
              <a:rPr lang="en-US">
                <a:solidFill>
                  <a:schemeClr val="tx1">
                    <a:lumMod val="75000"/>
                    <a:lumOff val="25000"/>
                  </a:schemeClr>
                </a:solidFill>
                <a:latin typeface="Arial Rounded MT Bold" panose="020F0704030504030204" pitchFamily="34" charset="0"/>
              </a:rPr>
              <a:t> Vs</a:t>
            </a:r>
            <a:r>
              <a:rPr lang="en-US" baseline="0">
                <a:solidFill>
                  <a:schemeClr val="tx1">
                    <a:lumMod val="75000"/>
                    <a:lumOff val="25000"/>
                  </a:schemeClr>
                </a:solidFill>
                <a:latin typeface="Arial Rounded MT Bold" panose="020F0704030504030204" pitchFamily="34" charset="0"/>
              </a:rPr>
              <a:t> PS GNL Monocliente</a:t>
            </a:r>
            <a:endParaRPr lang="en-US">
              <a:solidFill>
                <a:schemeClr val="tx1">
                  <a:lumMod val="75000"/>
                  <a:lumOff val="25000"/>
                </a:schemeClr>
              </a:solidFill>
              <a:latin typeface="Arial Rounded MT Bold" panose="020F0704030504030204" pitchFamily="34" charset="0"/>
            </a:endParaRPr>
          </a:p>
        </c:rich>
      </c:tx>
      <c:layout>
        <c:manualLayout>
          <c:xMode val="edge"/>
          <c:yMode val="edge"/>
          <c:x val="0.27665611762466624"/>
          <c:y val="3.3207805546045868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ATR Red Circular</c:v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bg1"/>
              </a:solidFill>
              <a:ln w="9525">
                <a:solidFill>
                  <a:srgbClr val="0070C0"/>
                </a:solidFill>
              </a:ln>
              <a:effectLst/>
            </c:spPr>
          </c:marker>
          <c:dLbls>
            <c:dLbl>
              <c:idx val="6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44F6-4759-A5B0-C1A33E093CF2}"/>
                </c:ext>
              </c:extLst>
            </c:dLbl>
            <c:dLbl>
              <c:idx val="8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44F6-4759-A5B0-C1A33E093CF2}"/>
                </c:ext>
              </c:extLst>
            </c:dLbl>
            <c:dLbl>
              <c:idx val="9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44F6-4759-A5B0-C1A33E093CF2}"/>
                </c:ext>
              </c:extLst>
            </c:dLbl>
            <c:dLbl>
              <c:idx val="10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44F6-4759-A5B0-C1A33E093CF2}"/>
                </c:ext>
              </c:extLst>
            </c:dLbl>
            <c:dLbl>
              <c:idx val="12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44F6-4759-A5B0-C1A33E093CF2}"/>
                </c:ext>
              </c:extLst>
            </c:dLbl>
            <c:dLbl>
              <c:idx val="13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44F6-4759-A5B0-C1A33E093CF2}"/>
                </c:ext>
              </c:extLst>
            </c:dLbl>
            <c:dLbl>
              <c:idx val="14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44F6-4759-A5B0-C1A33E093CF2}"/>
                </c:ext>
              </c:extLst>
            </c:dLbl>
            <c:dLbl>
              <c:idx val="15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44F6-4759-A5B0-C1A33E093CF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rgbClr val="0070C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'PS GNL Monocliente'!$B$10:$B$25</c:f>
              <c:numCache>
                <c:formatCode>#,##0</c:formatCode>
                <c:ptCount val="16"/>
                <c:pt idx="0">
                  <c:v>1000</c:v>
                </c:pt>
                <c:pt idx="1">
                  <c:v>1500</c:v>
                </c:pt>
                <c:pt idx="2">
                  <c:v>2500</c:v>
                </c:pt>
                <c:pt idx="3">
                  <c:v>3000</c:v>
                </c:pt>
                <c:pt idx="4">
                  <c:v>4000</c:v>
                </c:pt>
                <c:pt idx="5">
                  <c:v>5000</c:v>
                </c:pt>
                <c:pt idx="6">
                  <c:v>8000</c:v>
                </c:pt>
                <c:pt idx="7">
                  <c:v>10000</c:v>
                </c:pt>
                <c:pt idx="8">
                  <c:v>15000</c:v>
                </c:pt>
                <c:pt idx="9">
                  <c:v>20000</c:v>
                </c:pt>
                <c:pt idx="10">
                  <c:v>25000</c:v>
                </c:pt>
                <c:pt idx="11">
                  <c:v>30000</c:v>
                </c:pt>
                <c:pt idx="12">
                  <c:v>35000</c:v>
                </c:pt>
                <c:pt idx="13">
                  <c:v>40000</c:v>
                </c:pt>
                <c:pt idx="14">
                  <c:v>45000</c:v>
                </c:pt>
                <c:pt idx="15">
                  <c:v>50000</c:v>
                </c:pt>
              </c:numCache>
            </c:numRef>
          </c:cat>
          <c:val>
            <c:numRef>
              <c:f>'PS GNL Monocliente'!$AE$10:$AE$25</c:f>
              <c:numCache>
                <c:formatCode>0.00</c:formatCode>
                <c:ptCount val="16"/>
                <c:pt idx="0">
                  <c:v>19.985505336825142</c:v>
                </c:pt>
                <c:pt idx="1">
                  <c:v>19.097789336825144</c:v>
                </c:pt>
                <c:pt idx="2">
                  <c:v>16.911446936825143</c:v>
                </c:pt>
                <c:pt idx="3">
                  <c:v>16.022765336825145</c:v>
                </c:pt>
                <c:pt idx="4">
                  <c:v>14.911913336825142</c:v>
                </c:pt>
                <c:pt idx="5">
                  <c:v>14.245402136825142</c:v>
                </c:pt>
                <c:pt idx="6">
                  <c:v>7.3222324375503627</c:v>
                </c:pt>
                <c:pt idx="7">
                  <c:v>7.3222324375503627</c:v>
                </c:pt>
                <c:pt idx="8">
                  <c:v>7.3222324375503636</c:v>
                </c:pt>
                <c:pt idx="9">
                  <c:v>5.2161051208702656</c:v>
                </c:pt>
                <c:pt idx="10">
                  <c:v>5.2161051208702665</c:v>
                </c:pt>
                <c:pt idx="11">
                  <c:v>5.2161051208702656</c:v>
                </c:pt>
                <c:pt idx="12">
                  <c:v>5.2161051208702665</c:v>
                </c:pt>
                <c:pt idx="13">
                  <c:v>5.2161051208702656</c:v>
                </c:pt>
                <c:pt idx="14">
                  <c:v>5.2161051208702656</c:v>
                </c:pt>
                <c:pt idx="15">
                  <c:v>5.2161051208702665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44F6-4759-A5B0-C1A33E093CF2}"/>
            </c:ext>
          </c:extLst>
        </c:ser>
        <c:ser>
          <c:idx val="1"/>
          <c:order val="1"/>
          <c:tx>
            <c:v>PS GNL Monocliente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bg1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dLbl>
              <c:idx val="0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4F6-4759-A5B0-C1A33E093CF2}"/>
                </c:ext>
              </c:extLst>
            </c:dLbl>
            <c:dLbl>
              <c:idx val="1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4F6-4759-A5B0-C1A33E093CF2}"/>
                </c:ext>
              </c:extLst>
            </c:dLbl>
            <c:dLbl>
              <c:idx val="2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4F6-4759-A5B0-C1A33E093CF2}"/>
                </c:ext>
              </c:extLst>
            </c:dLbl>
            <c:dLbl>
              <c:idx val="3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44F6-4759-A5B0-C1A33E093CF2}"/>
                </c:ext>
              </c:extLst>
            </c:dLbl>
            <c:dLbl>
              <c:idx val="4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44F6-4759-A5B0-C1A33E093CF2}"/>
                </c:ext>
              </c:extLst>
            </c:dLbl>
            <c:dLbl>
              <c:idx val="5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44F6-4759-A5B0-C1A33E093CF2}"/>
                </c:ext>
              </c:extLst>
            </c:dLbl>
            <c:dLbl>
              <c:idx val="6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0" i="0" u="none" strike="noStrike" kern="1200" baseline="0">
                      <a:solidFill>
                        <a:schemeClr val="accent2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s-E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44F6-4759-A5B0-C1A33E093CF2}"/>
                </c:ext>
              </c:extLst>
            </c:dLbl>
            <c:dLbl>
              <c:idx val="8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44F6-4759-A5B0-C1A33E093CF2}"/>
                </c:ext>
              </c:extLst>
            </c:dLbl>
            <c:dLbl>
              <c:idx val="9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44F6-4759-A5B0-C1A33E093CF2}"/>
                </c:ext>
              </c:extLst>
            </c:dLbl>
            <c:dLbl>
              <c:idx val="10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44F6-4759-A5B0-C1A33E093CF2}"/>
                </c:ext>
              </c:extLst>
            </c:dLbl>
            <c:dLbl>
              <c:idx val="11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44F6-4759-A5B0-C1A33E093CF2}"/>
                </c:ext>
              </c:extLst>
            </c:dLbl>
            <c:dLbl>
              <c:idx val="12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4F6-4759-A5B0-C1A33E093CF2}"/>
                </c:ext>
              </c:extLst>
            </c:dLbl>
            <c:dLbl>
              <c:idx val="13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44F6-4759-A5B0-C1A33E093CF2}"/>
                </c:ext>
              </c:extLst>
            </c:dLbl>
            <c:dLbl>
              <c:idx val="14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4F6-4759-A5B0-C1A33E093CF2}"/>
                </c:ext>
              </c:extLst>
            </c:dLbl>
            <c:dLbl>
              <c:idx val="15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4F6-4759-A5B0-C1A33E093CF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accent2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'PS GNL Monocliente'!$B$10:$B$25</c:f>
              <c:numCache>
                <c:formatCode>#,##0</c:formatCode>
                <c:ptCount val="16"/>
                <c:pt idx="0">
                  <c:v>1000</c:v>
                </c:pt>
                <c:pt idx="1">
                  <c:v>1500</c:v>
                </c:pt>
                <c:pt idx="2">
                  <c:v>2500</c:v>
                </c:pt>
                <c:pt idx="3">
                  <c:v>3000</c:v>
                </c:pt>
                <c:pt idx="4">
                  <c:v>4000</c:v>
                </c:pt>
                <c:pt idx="5">
                  <c:v>5000</c:v>
                </c:pt>
                <c:pt idx="6">
                  <c:v>8000</c:v>
                </c:pt>
                <c:pt idx="7">
                  <c:v>10000</c:v>
                </c:pt>
                <c:pt idx="8">
                  <c:v>15000</c:v>
                </c:pt>
                <c:pt idx="9">
                  <c:v>20000</c:v>
                </c:pt>
                <c:pt idx="10">
                  <c:v>25000</c:v>
                </c:pt>
                <c:pt idx="11">
                  <c:v>30000</c:v>
                </c:pt>
                <c:pt idx="12">
                  <c:v>35000</c:v>
                </c:pt>
                <c:pt idx="13">
                  <c:v>40000</c:v>
                </c:pt>
                <c:pt idx="14">
                  <c:v>45000</c:v>
                </c:pt>
                <c:pt idx="15">
                  <c:v>50000</c:v>
                </c:pt>
              </c:numCache>
            </c:numRef>
          </c:cat>
          <c:val>
            <c:numRef>
              <c:f>'PS GNL Monocliente'!$AQ$10:$AQ$25</c:f>
              <c:numCache>
                <c:formatCode>0.00</c:formatCode>
                <c:ptCount val="16"/>
                <c:pt idx="0">
                  <c:v>2.9811924051903866</c:v>
                </c:pt>
                <c:pt idx="1">
                  <c:v>2.9811924051903866</c:v>
                </c:pt>
                <c:pt idx="2">
                  <c:v>2.9811924051903866</c:v>
                </c:pt>
                <c:pt idx="3">
                  <c:v>2.9811924051903866</c:v>
                </c:pt>
                <c:pt idx="4">
                  <c:v>2.9811924051903866</c:v>
                </c:pt>
                <c:pt idx="5">
                  <c:v>2.9811924051903866</c:v>
                </c:pt>
                <c:pt idx="6">
                  <c:v>2.9811924051903866</c:v>
                </c:pt>
                <c:pt idx="7">
                  <c:v>2.9811924051903866</c:v>
                </c:pt>
                <c:pt idx="8">
                  <c:v>2.9811924051903866</c:v>
                </c:pt>
                <c:pt idx="9">
                  <c:v>2.9811924051903866</c:v>
                </c:pt>
                <c:pt idx="10">
                  <c:v>2.9811924051903862</c:v>
                </c:pt>
                <c:pt idx="11">
                  <c:v>2.9811924051903866</c:v>
                </c:pt>
                <c:pt idx="12">
                  <c:v>2.9811924051903866</c:v>
                </c:pt>
                <c:pt idx="13">
                  <c:v>2.9811924051903866</c:v>
                </c:pt>
                <c:pt idx="14">
                  <c:v>2.9811924051903862</c:v>
                </c:pt>
                <c:pt idx="15">
                  <c:v>2.9811924051903862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44F6-4759-A5B0-C1A33E093C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851584"/>
        <c:axId val="86853504"/>
      </c:lineChart>
      <c:catAx>
        <c:axId val="868515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rgbClr val="0070C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es-ES" sz="1400">
                    <a:solidFill>
                      <a:srgbClr val="0070C0"/>
                    </a:solidFill>
                  </a:rPr>
                  <a:t>Consumo MWh/año</a:t>
                </a:r>
              </a:p>
            </c:rich>
          </c:tx>
          <c:layout>
            <c:manualLayout>
              <c:xMode val="edge"/>
              <c:yMode val="edge"/>
              <c:x val="0.44897047659986333"/>
              <c:y val="0.90283631425867161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" sourceLinked="1"/>
        <c:majorTickMark val="cross"/>
        <c:minorTickMark val="none"/>
        <c:tickLblPos val="low"/>
        <c:spPr>
          <a:noFill/>
          <a:ln w="12700" cap="flat" cmpd="sng" algn="ctr">
            <a:solidFill>
              <a:srgbClr val="002060"/>
            </a:solidFill>
            <a:round/>
          </a:ln>
          <a:effectLst/>
        </c:spPr>
        <c:txPr>
          <a:bodyPr rot="-402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rgbClr val="0070C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s-ES"/>
          </a:p>
        </c:txPr>
        <c:crossAx val="86853504"/>
        <c:crossesAt val="0"/>
        <c:auto val="1"/>
        <c:lblAlgn val="ctr"/>
        <c:lblOffset val="100"/>
        <c:noMultiLvlLbl val="0"/>
      </c:catAx>
      <c:valAx>
        <c:axId val="86853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lgDash"/>
              <a:round/>
            </a:ln>
            <a:effectLst/>
          </c:spPr>
        </c:majorGridlines>
        <c:numFmt formatCode="#,##0.0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s-ES"/>
          </a:p>
        </c:txPr>
        <c:crossAx val="86851584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Arial Narrow" panose="020B060602020203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75000"/>
                    <a:lumOff val="25000"/>
                  </a:schemeClr>
                </a:solidFill>
                <a:latin typeface="Arial Rounded MT Bold" panose="020F0704030504030204" pitchFamily="34" charset="0"/>
                <a:ea typeface="+mn-ea"/>
                <a:cs typeface="+mn-cs"/>
              </a:defRPr>
            </a:pPr>
            <a:r>
              <a:rPr lang="el-GR" sz="1400">
                <a:solidFill>
                  <a:schemeClr val="tx1">
                    <a:lumMod val="75000"/>
                    <a:lumOff val="25000"/>
                  </a:schemeClr>
                </a:solidFill>
              </a:rPr>
              <a:t>Δ</a:t>
            </a:r>
            <a:r>
              <a:rPr lang="en-US" sz="1400">
                <a:solidFill>
                  <a:schemeClr val="tx1">
                    <a:lumMod val="75000"/>
                    <a:lumOff val="25000"/>
                  </a:schemeClr>
                </a:solidFill>
                <a:latin typeface="Arial Rounded MT Bold" panose="020F0704030504030204" pitchFamily="34" charset="0"/>
              </a:rPr>
              <a:t> €/MWh ATR</a:t>
            </a:r>
            <a:r>
              <a:rPr lang="en-US" sz="1400" baseline="0">
                <a:solidFill>
                  <a:schemeClr val="tx1">
                    <a:lumMod val="75000"/>
                    <a:lumOff val="25000"/>
                  </a:schemeClr>
                </a:solidFill>
                <a:latin typeface="Arial Rounded MT Bold" panose="020F0704030504030204" pitchFamily="34" charset="0"/>
              </a:rPr>
              <a:t> Vs </a:t>
            </a:r>
            <a:r>
              <a:rPr lang="en-US" sz="1400">
                <a:solidFill>
                  <a:schemeClr val="tx1">
                    <a:lumMod val="75000"/>
                    <a:lumOff val="25000"/>
                  </a:schemeClr>
                </a:solidFill>
                <a:latin typeface="Arial Rounded MT Bold" panose="020F0704030504030204" pitchFamily="34" charset="0"/>
              </a:rPr>
              <a:t> PS</a:t>
            </a:r>
            <a:r>
              <a:rPr lang="en-US" sz="1400" baseline="0">
                <a:solidFill>
                  <a:schemeClr val="tx1">
                    <a:lumMod val="75000"/>
                    <a:lumOff val="25000"/>
                  </a:schemeClr>
                </a:solidFill>
                <a:latin typeface="Arial Rounded MT Bold" panose="020F0704030504030204" pitchFamily="34" charset="0"/>
              </a:rPr>
              <a:t> GNL Monocliente</a:t>
            </a:r>
            <a:endParaRPr lang="en-US" sz="1400">
              <a:solidFill>
                <a:schemeClr val="tx1">
                  <a:lumMod val="75000"/>
                  <a:lumOff val="25000"/>
                </a:schemeClr>
              </a:solidFill>
              <a:latin typeface="Arial Rounded MT Bold" panose="020F0704030504030204" pitchFamily="34" charset="0"/>
            </a:endParaRPr>
          </a:p>
        </c:rich>
      </c:tx>
      <c:layout>
        <c:manualLayout>
          <c:xMode val="edge"/>
          <c:yMode val="edge"/>
          <c:x val="0.36188630593185983"/>
          <c:y val="2.7763500639799307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'PS GNL Monocliente'!$AU$9</c:f>
              <c:strCache>
                <c:ptCount val="1"/>
                <c:pt idx="0">
                  <c:v>D €/MWh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Pt>
            <c:idx val="20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C8E-4470-913A-002512E6D3CD}"/>
              </c:ext>
            </c:extLst>
          </c:dPt>
          <c:dPt>
            <c:idx val="21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5C8E-4470-913A-002512E6D3CD}"/>
              </c:ext>
            </c:extLst>
          </c:dPt>
          <c:dPt>
            <c:idx val="22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5C8E-4470-913A-002512E6D3CD}"/>
              </c:ext>
            </c:extLst>
          </c:dPt>
          <c:dPt>
            <c:idx val="23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5C8E-4470-913A-002512E6D3CD}"/>
              </c:ext>
            </c:extLst>
          </c:dPt>
          <c:dPt>
            <c:idx val="24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5C8E-4470-913A-002512E6D3CD}"/>
              </c:ext>
            </c:extLst>
          </c:dPt>
          <c:dPt>
            <c:idx val="25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5C8E-4470-913A-002512E6D3CD}"/>
              </c:ext>
            </c:extLst>
          </c:dPt>
          <c:dPt>
            <c:idx val="26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5C8E-4470-913A-002512E6D3CD}"/>
              </c:ext>
            </c:extLst>
          </c:dPt>
          <c:dPt>
            <c:idx val="27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5C8E-4470-913A-002512E6D3CD}"/>
              </c:ext>
            </c:extLst>
          </c:dPt>
          <c:dPt>
            <c:idx val="28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5C8E-4470-913A-002512E6D3CD}"/>
              </c:ext>
            </c:extLst>
          </c:dPt>
          <c:dPt>
            <c:idx val="29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5C8E-4470-913A-002512E6D3CD}"/>
              </c:ext>
            </c:extLst>
          </c:dPt>
          <c:dPt>
            <c:idx val="30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5C8E-4470-913A-002512E6D3CD}"/>
              </c:ext>
            </c:extLst>
          </c:dPt>
          <c:dPt>
            <c:idx val="31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7-5C8E-4470-913A-002512E6D3CD}"/>
              </c:ext>
            </c:extLst>
          </c:dPt>
          <c:dLbls>
            <c:numFmt formatCode="#,##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>
                    <a:solidFill>
                      <a:srgbClr val="C00000"/>
                    </a:solidFill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'PS GNL Monocliente'!$B$10:$B$25</c:f>
              <c:numCache>
                <c:formatCode>#,##0</c:formatCode>
                <c:ptCount val="16"/>
                <c:pt idx="0">
                  <c:v>1000</c:v>
                </c:pt>
                <c:pt idx="1">
                  <c:v>1500</c:v>
                </c:pt>
                <c:pt idx="2">
                  <c:v>2500</c:v>
                </c:pt>
                <c:pt idx="3">
                  <c:v>3000</c:v>
                </c:pt>
                <c:pt idx="4">
                  <c:v>4000</c:v>
                </c:pt>
                <c:pt idx="5">
                  <c:v>5000</c:v>
                </c:pt>
                <c:pt idx="6">
                  <c:v>8000</c:v>
                </c:pt>
                <c:pt idx="7">
                  <c:v>10000</c:v>
                </c:pt>
                <c:pt idx="8">
                  <c:v>15000</c:v>
                </c:pt>
                <c:pt idx="9">
                  <c:v>20000</c:v>
                </c:pt>
                <c:pt idx="10">
                  <c:v>25000</c:v>
                </c:pt>
                <c:pt idx="11">
                  <c:v>30000</c:v>
                </c:pt>
                <c:pt idx="12">
                  <c:v>35000</c:v>
                </c:pt>
                <c:pt idx="13">
                  <c:v>40000</c:v>
                </c:pt>
                <c:pt idx="14">
                  <c:v>45000</c:v>
                </c:pt>
                <c:pt idx="15">
                  <c:v>50000</c:v>
                </c:pt>
              </c:numCache>
            </c:numRef>
          </c:cat>
          <c:val>
            <c:numRef>
              <c:f>'PS GNL Monocliente'!$AU$10:$AU$25</c:f>
              <c:numCache>
                <c:formatCode>#,##0.00</c:formatCode>
                <c:ptCount val="16"/>
                <c:pt idx="0">
                  <c:v>17.004312931634754</c:v>
                </c:pt>
                <c:pt idx="1">
                  <c:v>16.116596931634756</c:v>
                </c:pt>
                <c:pt idx="2">
                  <c:v>13.930254531634757</c:v>
                </c:pt>
                <c:pt idx="3">
                  <c:v>13.041572931634759</c:v>
                </c:pt>
                <c:pt idx="4">
                  <c:v>11.930720931634756</c:v>
                </c:pt>
                <c:pt idx="5">
                  <c:v>11.264209731634756</c:v>
                </c:pt>
                <c:pt idx="6">
                  <c:v>4.3410400323599756</c:v>
                </c:pt>
                <c:pt idx="7">
                  <c:v>4.3410400323599756</c:v>
                </c:pt>
                <c:pt idx="8">
                  <c:v>4.3410400323599774</c:v>
                </c:pt>
                <c:pt idx="9">
                  <c:v>2.2349127156798789</c:v>
                </c:pt>
                <c:pt idx="10">
                  <c:v>2.2349127156798803</c:v>
                </c:pt>
                <c:pt idx="11">
                  <c:v>2.2349127156798789</c:v>
                </c:pt>
                <c:pt idx="12">
                  <c:v>2.2349127156798798</c:v>
                </c:pt>
                <c:pt idx="13">
                  <c:v>2.2349127156798789</c:v>
                </c:pt>
                <c:pt idx="14">
                  <c:v>2.2349127156798794</c:v>
                </c:pt>
                <c:pt idx="15">
                  <c:v>2.2349127156798803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8-5C8E-4470-913A-002512E6D3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8"/>
        <c:overlap val="-100"/>
        <c:axId val="86946560"/>
        <c:axId val="86948480"/>
      </c:barChart>
      <c:catAx>
        <c:axId val="869465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rgbClr val="0070C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es-ES" sz="1400">
                    <a:solidFill>
                      <a:srgbClr val="0070C0"/>
                    </a:solidFill>
                  </a:rPr>
                  <a:t>Consumo</a:t>
                </a:r>
                <a:r>
                  <a:rPr lang="es-ES" sz="1400" baseline="0">
                    <a:solidFill>
                      <a:srgbClr val="0070C0"/>
                    </a:solidFill>
                  </a:rPr>
                  <a:t> MWh/año</a:t>
                </a:r>
                <a:endParaRPr lang="es-ES" sz="1400">
                  <a:solidFill>
                    <a:srgbClr val="0070C0"/>
                  </a:solidFill>
                </a:endParaRPr>
              </a:p>
            </c:rich>
          </c:tx>
          <c:layout>
            <c:manualLayout>
              <c:xMode val="edge"/>
              <c:yMode val="edge"/>
              <c:x val="0.43311625440759305"/>
              <c:y val="0.91666652068936316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" sourceLinked="1"/>
        <c:majorTickMark val="cross"/>
        <c:minorTickMark val="none"/>
        <c:tickLblPos val="low"/>
        <c:spPr>
          <a:noFill/>
          <a:ln w="15875" cap="flat" cmpd="sng" algn="ctr">
            <a:solidFill>
              <a:srgbClr val="002060"/>
            </a:solidFill>
            <a:round/>
          </a:ln>
          <a:effectLst/>
        </c:spPr>
        <c:txPr>
          <a:bodyPr rot="-414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rgbClr val="0070C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s-ES"/>
          </a:p>
        </c:txPr>
        <c:crossAx val="86948480"/>
        <c:crossesAt val="0"/>
        <c:auto val="1"/>
        <c:lblAlgn val="ctr"/>
        <c:lblOffset val="100"/>
        <c:noMultiLvlLbl val="0"/>
      </c:catAx>
      <c:valAx>
        <c:axId val="86948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lgDash"/>
              <a:round/>
            </a:ln>
            <a:effectLst/>
          </c:spPr>
        </c:majorGridlines>
        <c:numFmt formatCode="#,##0\ &quot;€&quot;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75000"/>
                    <a:lumOff val="2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s-ES"/>
          </a:p>
        </c:txPr>
        <c:crossAx val="869465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Arial Narrow" panose="020B060602020203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75000"/>
                    <a:lumOff val="25000"/>
                  </a:schemeClr>
                </a:solidFill>
                <a:latin typeface="Arial Rounded MT Bold" panose="020F0704030504030204" pitchFamily="34" charset="0"/>
                <a:ea typeface="+mn-ea"/>
                <a:cs typeface="+mn-cs"/>
              </a:defRPr>
            </a:pPr>
            <a:r>
              <a:rPr lang="el-GR" sz="1400">
                <a:solidFill>
                  <a:schemeClr val="tx1">
                    <a:lumMod val="75000"/>
                    <a:lumOff val="25000"/>
                  </a:schemeClr>
                </a:solidFill>
              </a:rPr>
              <a:t>Δ</a:t>
            </a:r>
            <a:r>
              <a:rPr lang="en-US" sz="1400">
                <a:solidFill>
                  <a:schemeClr val="tx1">
                    <a:lumMod val="75000"/>
                    <a:lumOff val="25000"/>
                  </a:schemeClr>
                </a:solidFill>
                <a:latin typeface="Arial Rounded MT Bold" panose="020F0704030504030204" pitchFamily="34" charset="0"/>
              </a:rPr>
              <a:t> €/año ATR G2 Tamaño Medio</a:t>
            </a:r>
            <a:r>
              <a:rPr lang="en-US" sz="1400" baseline="0">
                <a:solidFill>
                  <a:schemeClr val="tx1">
                    <a:lumMod val="75000"/>
                    <a:lumOff val="25000"/>
                  </a:schemeClr>
                </a:solidFill>
                <a:latin typeface="Arial Rounded MT Bold" panose="020F0704030504030204" pitchFamily="34" charset="0"/>
              </a:rPr>
              <a:t> Vs </a:t>
            </a:r>
            <a:r>
              <a:rPr lang="en-US" sz="1400">
                <a:solidFill>
                  <a:schemeClr val="tx1">
                    <a:lumMod val="75000"/>
                    <a:lumOff val="25000"/>
                  </a:schemeClr>
                </a:solidFill>
                <a:latin typeface="Arial Rounded MT Bold" panose="020F0704030504030204" pitchFamily="34" charset="0"/>
              </a:rPr>
              <a:t> PS</a:t>
            </a:r>
            <a:r>
              <a:rPr lang="en-US" sz="1400" baseline="0">
                <a:solidFill>
                  <a:schemeClr val="tx1">
                    <a:lumMod val="75000"/>
                    <a:lumOff val="25000"/>
                  </a:schemeClr>
                </a:solidFill>
                <a:latin typeface="Arial Rounded MT Bold" panose="020F0704030504030204" pitchFamily="34" charset="0"/>
              </a:rPr>
              <a:t> GNL Monocliente</a:t>
            </a:r>
            <a:endParaRPr lang="en-US" sz="1400">
              <a:solidFill>
                <a:schemeClr val="tx1">
                  <a:lumMod val="75000"/>
                  <a:lumOff val="25000"/>
                </a:schemeClr>
              </a:solidFill>
              <a:latin typeface="Arial Rounded MT Bold" panose="020F0704030504030204" pitchFamily="34" charset="0"/>
            </a:endParaRPr>
          </a:p>
        </c:rich>
      </c:tx>
      <c:layout>
        <c:manualLayout>
          <c:xMode val="edge"/>
          <c:yMode val="edge"/>
          <c:x val="0.19940778304829346"/>
          <c:y val="2.4107155709741035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'PS GNL Monocliente G2 Medios'!$AT$9</c:f>
              <c:strCache>
                <c:ptCount val="1"/>
                <c:pt idx="0">
                  <c:v>D €/año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Pt>
            <c:idx val="20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1C75-422F-8C79-5F71DE1E2138}"/>
              </c:ext>
            </c:extLst>
          </c:dPt>
          <c:dPt>
            <c:idx val="21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1C75-422F-8C79-5F71DE1E2138}"/>
              </c:ext>
            </c:extLst>
          </c:dPt>
          <c:dPt>
            <c:idx val="22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5-1C75-422F-8C79-5F71DE1E2138}"/>
              </c:ext>
            </c:extLst>
          </c:dPt>
          <c:dPt>
            <c:idx val="23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7-1C75-422F-8C79-5F71DE1E2138}"/>
              </c:ext>
            </c:extLst>
          </c:dPt>
          <c:dPt>
            <c:idx val="24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9-1C75-422F-8C79-5F71DE1E2138}"/>
              </c:ext>
            </c:extLst>
          </c:dPt>
          <c:dPt>
            <c:idx val="25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B-1C75-422F-8C79-5F71DE1E2138}"/>
              </c:ext>
            </c:extLst>
          </c:dPt>
          <c:dPt>
            <c:idx val="26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D-1C75-422F-8C79-5F71DE1E2138}"/>
              </c:ext>
            </c:extLst>
          </c:dPt>
          <c:dPt>
            <c:idx val="27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F-1C75-422F-8C79-5F71DE1E2138}"/>
              </c:ext>
            </c:extLst>
          </c:dPt>
          <c:dPt>
            <c:idx val="28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11-1C75-422F-8C79-5F71DE1E2138}"/>
              </c:ext>
            </c:extLst>
          </c:dPt>
          <c:dPt>
            <c:idx val="29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13-1C75-422F-8C79-5F71DE1E2138}"/>
              </c:ext>
            </c:extLst>
          </c:dPt>
          <c:dPt>
            <c:idx val="30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15-1C75-422F-8C79-5F71DE1E2138}"/>
              </c:ext>
            </c:extLst>
          </c:dPt>
          <c:dPt>
            <c:idx val="31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17-1C75-422F-8C79-5F71DE1E2138}"/>
              </c:ext>
            </c:extLst>
          </c:dPt>
          <c:dLbls>
            <c:numFmt formatCode="#,##0\ &quot;€&quot;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>
                    <a:solidFill>
                      <a:srgbClr val="C00000"/>
                    </a:solidFill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'PS GNL Monocliente G2 Medios'!$E$10:$E$15</c:f>
              <c:strCache>
                <c:ptCount val="6"/>
                <c:pt idx="0">
                  <c:v>2.1</c:v>
                </c:pt>
                <c:pt idx="1">
                  <c:v>2.2</c:v>
                </c:pt>
                <c:pt idx="2">
                  <c:v>2.3</c:v>
                </c:pt>
                <c:pt idx="3">
                  <c:v>2.4</c:v>
                </c:pt>
                <c:pt idx="4">
                  <c:v>2.5</c:v>
                </c:pt>
                <c:pt idx="5">
                  <c:v>2.6</c:v>
                </c:pt>
              </c:strCache>
            </c:strRef>
          </c:cat>
          <c:val>
            <c:numRef>
              <c:f>'PS GNL Monocliente G2 Medios'!$AT$10:$AT$15</c:f>
              <c:numCache>
                <c:formatCode>#,##0.00\ "€"</c:formatCode>
                <c:ptCount val="6"/>
                <c:pt idx="0">
                  <c:v>9217.0603737570818</c:v>
                </c:pt>
                <c:pt idx="1">
                  <c:v>32538.52445727204</c:v>
                </c:pt>
                <c:pt idx="2">
                  <c:v>52774.023673400239</c:v>
                </c:pt>
                <c:pt idx="3">
                  <c:v>109613.5290532354</c:v>
                </c:pt>
                <c:pt idx="4">
                  <c:v>169772.9957184036</c:v>
                </c:pt>
                <c:pt idx="5">
                  <c:v>423892.17319318186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8-1C75-422F-8C79-5F71DE1E21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8"/>
        <c:overlap val="-100"/>
        <c:axId val="86536960"/>
        <c:axId val="86538880"/>
      </c:barChart>
      <c:catAx>
        <c:axId val="865369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rgbClr val="0070C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es-ES" sz="1400">
                    <a:solidFill>
                      <a:srgbClr val="0070C0"/>
                    </a:solidFill>
                  </a:rPr>
                  <a:t>Peaje Grupo 2</a:t>
                </a:r>
              </a:p>
            </c:rich>
          </c:tx>
          <c:layout>
            <c:manualLayout>
              <c:xMode val="edge"/>
              <c:yMode val="edge"/>
              <c:x val="0.43311625440759305"/>
              <c:y val="0.91666652068936316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cross"/>
        <c:minorTickMark val="none"/>
        <c:tickLblPos val="low"/>
        <c:spPr>
          <a:noFill/>
          <a:ln w="15875" cap="flat" cmpd="sng" algn="ctr">
            <a:solidFill>
              <a:srgbClr val="002060"/>
            </a:solidFill>
            <a:round/>
          </a:ln>
          <a:effectLst/>
        </c:spPr>
        <c:txPr>
          <a:bodyPr rot="-4140000" spcFirstLastPara="1" vertOverflow="ellipsis" wrap="square" anchor="ctr" anchorCtr="1"/>
          <a:lstStyle/>
          <a:p>
            <a:pPr>
              <a:defRPr sz="1400" b="0" i="0" u="none" strike="noStrike" kern="1200" baseline="0">
                <a:solidFill>
                  <a:srgbClr val="0070C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s-ES"/>
          </a:p>
        </c:txPr>
        <c:crossAx val="86538880"/>
        <c:crossesAt val="0"/>
        <c:auto val="1"/>
        <c:lblAlgn val="ctr"/>
        <c:lblOffset val="100"/>
        <c:noMultiLvlLbl val="0"/>
      </c:catAx>
      <c:valAx>
        <c:axId val="86538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lgDash"/>
              <a:round/>
            </a:ln>
            <a:effectLst/>
          </c:spPr>
        </c:majorGridlines>
        <c:numFmt formatCode="#,##0\ &quot;€&quot;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75000"/>
                    <a:lumOff val="2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s-ES"/>
          </a:p>
        </c:txPr>
        <c:crossAx val="865369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Arial Narrow" panose="020B060602020203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75000"/>
                    <a:lumOff val="25000"/>
                  </a:schemeClr>
                </a:solidFill>
                <a:latin typeface="Arial Rounded MT Bold" panose="020F0704030504030204" pitchFamily="34" charset="0"/>
                <a:ea typeface="+mn-ea"/>
                <a:cs typeface="+mn-cs"/>
              </a:defRPr>
            </a:pPr>
            <a:r>
              <a:rPr lang="el-GR">
                <a:solidFill>
                  <a:schemeClr val="tx1">
                    <a:lumMod val="75000"/>
                    <a:lumOff val="25000"/>
                  </a:schemeClr>
                </a:solidFill>
              </a:rPr>
              <a:t>Δ</a:t>
            </a:r>
            <a:r>
              <a:rPr lang="en-US">
                <a:solidFill>
                  <a:schemeClr val="tx1">
                    <a:lumMod val="75000"/>
                    <a:lumOff val="25000"/>
                  </a:schemeClr>
                </a:solidFill>
                <a:latin typeface="Arial Rounded MT Bold" panose="020F0704030504030204" pitchFamily="34" charset="0"/>
              </a:rPr>
              <a:t> €</a:t>
            </a:r>
            <a:r>
              <a:rPr lang="en-US" baseline="0">
                <a:solidFill>
                  <a:schemeClr val="tx1">
                    <a:lumMod val="75000"/>
                    <a:lumOff val="25000"/>
                  </a:schemeClr>
                </a:solidFill>
                <a:latin typeface="Arial Rounded MT Bold" panose="020F0704030504030204" pitchFamily="34" charset="0"/>
              </a:rPr>
              <a:t> ATR Grupo 2 Tamaño Medio Vs</a:t>
            </a:r>
            <a:r>
              <a:rPr lang="en-US">
                <a:solidFill>
                  <a:schemeClr val="tx1">
                    <a:lumMod val="75000"/>
                    <a:lumOff val="25000"/>
                  </a:schemeClr>
                </a:solidFill>
                <a:latin typeface="Arial Rounded MT Bold" panose="020F0704030504030204" pitchFamily="34" charset="0"/>
              </a:rPr>
              <a:t> PS GNL</a:t>
            </a:r>
            <a:r>
              <a:rPr lang="en-US" baseline="0">
                <a:solidFill>
                  <a:schemeClr val="tx1">
                    <a:lumMod val="75000"/>
                    <a:lumOff val="25000"/>
                  </a:schemeClr>
                </a:solidFill>
                <a:latin typeface="Arial Rounded MT Bold" panose="020F0704030504030204" pitchFamily="34" charset="0"/>
              </a:rPr>
              <a:t> Monocliente </a:t>
            </a:r>
            <a:endParaRPr lang="en-US">
              <a:solidFill>
                <a:schemeClr val="tx1">
                  <a:lumMod val="75000"/>
                  <a:lumOff val="25000"/>
                </a:schemeClr>
              </a:solidFill>
              <a:latin typeface="Arial Rounded MT Bold" panose="020F0704030504030204" pitchFamily="34" charset="0"/>
            </a:endParaRPr>
          </a:p>
        </c:rich>
      </c:tx>
      <c:layout>
        <c:manualLayout>
          <c:xMode val="edge"/>
          <c:yMode val="edge"/>
          <c:x val="0.26071990538220507"/>
          <c:y val="2.8285594735440678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'PS GNL Monocliente G2 Medios'!$AT$9</c:f>
              <c:strCache>
                <c:ptCount val="1"/>
                <c:pt idx="0">
                  <c:v>D €/año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bg1"/>
              </a:solidFill>
              <a:ln w="9525">
                <a:solidFill>
                  <a:srgbClr val="C00000"/>
                </a:solidFill>
              </a:ln>
              <a:effectLst/>
            </c:spPr>
          </c:marker>
          <c:dLbls>
            <c:dLbl>
              <c:idx val="6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142-45F9-BA65-5AADA39C8A98}"/>
                </c:ext>
              </c:extLst>
            </c:dLbl>
            <c:dLbl>
              <c:idx val="8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142-45F9-BA65-5AADA39C8A98}"/>
                </c:ext>
              </c:extLst>
            </c:dLbl>
            <c:dLbl>
              <c:idx val="9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142-45F9-BA65-5AADA39C8A98}"/>
                </c:ext>
              </c:extLst>
            </c:dLbl>
            <c:dLbl>
              <c:idx val="10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142-45F9-BA65-5AADA39C8A98}"/>
                </c:ext>
              </c:extLst>
            </c:dLbl>
            <c:dLbl>
              <c:idx val="12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142-45F9-BA65-5AADA39C8A98}"/>
                </c:ext>
              </c:extLst>
            </c:dLbl>
            <c:dLbl>
              <c:idx val="13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142-45F9-BA65-5AADA39C8A98}"/>
                </c:ext>
              </c:extLst>
            </c:dLbl>
            <c:dLbl>
              <c:idx val="14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142-45F9-BA65-5AADA39C8A98}"/>
                </c:ext>
              </c:extLst>
            </c:dLbl>
            <c:dLbl>
              <c:idx val="15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142-45F9-BA65-5AADA39C8A9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>
                    <a:solidFill>
                      <a:srgbClr val="C00000"/>
                    </a:solidFill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'PS GNL Monocliente G2 Medios'!$E$10:$E$15</c:f>
              <c:strCache>
                <c:ptCount val="6"/>
                <c:pt idx="0">
                  <c:v>2.1</c:v>
                </c:pt>
                <c:pt idx="1">
                  <c:v>2.2</c:v>
                </c:pt>
                <c:pt idx="2">
                  <c:v>2.3</c:v>
                </c:pt>
                <c:pt idx="3">
                  <c:v>2.4</c:v>
                </c:pt>
                <c:pt idx="4">
                  <c:v>2.5</c:v>
                </c:pt>
                <c:pt idx="5">
                  <c:v>2.6</c:v>
                </c:pt>
              </c:strCache>
            </c:strRef>
          </c:cat>
          <c:val>
            <c:numRef>
              <c:f>'PS GNL Monocliente G2 Medios'!$AU$10:$AU$15</c:f>
              <c:numCache>
                <c:formatCode>0%</c:formatCode>
                <c:ptCount val="6"/>
                <c:pt idx="0">
                  <c:v>0.87122175930811885</c:v>
                </c:pt>
                <c:pt idx="1">
                  <c:v>0.83009598773902948</c:v>
                </c:pt>
                <c:pt idx="2">
                  <c:v>0.59285744742245061</c:v>
                </c:pt>
                <c:pt idx="3">
                  <c:v>0.42846389478189856</c:v>
                </c:pt>
                <c:pt idx="4">
                  <c:v>0.21615840774122339</c:v>
                </c:pt>
                <c:pt idx="5">
                  <c:v>0.1104900977338576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4FC-412F-82BC-959F9C63B5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387328"/>
        <c:axId val="86414080"/>
      </c:lineChart>
      <c:catAx>
        <c:axId val="863873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rgbClr val="0070C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es-ES" sz="1400">
                    <a:solidFill>
                      <a:srgbClr val="0070C0"/>
                    </a:solidFill>
                  </a:rPr>
                  <a:t>Peaje</a:t>
                </a:r>
                <a:r>
                  <a:rPr lang="es-ES" sz="1400" baseline="0">
                    <a:solidFill>
                      <a:srgbClr val="0070C0"/>
                    </a:solidFill>
                  </a:rPr>
                  <a:t> Grupo 2</a:t>
                </a:r>
                <a:endParaRPr lang="es-ES" sz="1400">
                  <a:solidFill>
                    <a:srgbClr val="0070C0"/>
                  </a:solidFill>
                </a:endParaRPr>
              </a:p>
            </c:rich>
          </c:tx>
          <c:layout>
            <c:manualLayout>
              <c:xMode val="edge"/>
              <c:yMode val="edge"/>
              <c:x val="0.36824027353077327"/>
              <c:y val="0.91793288067252465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cross"/>
        <c:minorTickMark val="none"/>
        <c:tickLblPos val="low"/>
        <c:spPr>
          <a:noFill/>
          <a:ln w="12700" cap="flat" cmpd="sng" algn="ctr">
            <a:solidFill>
              <a:srgbClr val="002060"/>
            </a:solidFill>
            <a:round/>
          </a:ln>
          <a:effectLst/>
        </c:spPr>
        <c:txPr>
          <a:bodyPr rot="-4020000" spcFirstLastPara="1" vertOverflow="ellipsis" wrap="square" anchor="ctr" anchorCtr="1"/>
          <a:lstStyle/>
          <a:p>
            <a:pPr>
              <a:defRPr sz="1400" b="0" i="0" u="none" strike="noStrike" kern="1200" baseline="0">
                <a:solidFill>
                  <a:srgbClr val="0070C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s-ES"/>
          </a:p>
        </c:txPr>
        <c:crossAx val="86414080"/>
        <c:crossesAt val="0"/>
        <c:auto val="1"/>
        <c:lblAlgn val="ctr"/>
        <c:lblOffset val="100"/>
        <c:noMultiLvlLbl val="0"/>
      </c:catAx>
      <c:valAx>
        <c:axId val="864140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lgDash"/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75000"/>
                    <a:lumOff val="2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s-ES"/>
          </a:p>
        </c:txPr>
        <c:crossAx val="863873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Arial Narrow" panose="020B060602020203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75000"/>
                    <a:lumOff val="25000"/>
                  </a:schemeClr>
                </a:solidFill>
                <a:latin typeface="Arial Rounded MT Bold" panose="020F0704030504030204" pitchFamily="34" charset="0"/>
                <a:ea typeface="+mn-ea"/>
                <a:cs typeface="+mn-cs"/>
              </a:defRPr>
            </a:pPr>
            <a:r>
              <a:rPr lang="en-US">
                <a:solidFill>
                  <a:schemeClr val="tx1">
                    <a:lumMod val="75000"/>
                    <a:lumOff val="25000"/>
                  </a:schemeClr>
                </a:solidFill>
                <a:latin typeface="Arial Rounded MT Bold" panose="020F0704030504030204" pitchFamily="34" charset="0"/>
              </a:rPr>
              <a:t>€/MWh</a:t>
            </a:r>
            <a:r>
              <a:rPr lang="en-US" baseline="0">
                <a:solidFill>
                  <a:schemeClr val="tx1">
                    <a:lumMod val="75000"/>
                    <a:lumOff val="25000"/>
                  </a:schemeClr>
                </a:solidFill>
                <a:latin typeface="Arial Rounded MT Bold" panose="020F0704030504030204" pitchFamily="34" charset="0"/>
              </a:rPr>
              <a:t> Peajes ATR G2 Tamaño Medio</a:t>
            </a:r>
            <a:r>
              <a:rPr lang="en-US">
                <a:solidFill>
                  <a:schemeClr val="tx1">
                    <a:lumMod val="75000"/>
                    <a:lumOff val="25000"/>
                  </a:schemeClr>
                </a:solidFill>
                <a:latin typeface="Arial Rounded MT Bold" panose="020F0704030504030204" pitchFamily="34" charset="0"/>
              </a:rPr>
              <a:t> Vs</a:t>
            </a:r>
            <a:r>
              <a:rPr lang="en-US" baseline="0">
                <a:solidFill>
                  <a:schemeClr val="tx1">
                    <a:lumMod val="75000"/>
                    <a:lumOff val="25000"/>
                  </a:schemeClr>
                </a:solidFill>
                <a:latin typeface="Arial Rounded MT Bold" panose="020F0704030504030204" pitchFamily="34" charset="0"/>
              </a:rPr>
              <a:t> PS GNL Monocliente</a:t>
            </a:r>
            <a:endParaRPr lang="en-US">
              <a:solidFill>
                <a:schemeClr val="tx1">
                  <a:lumMod val="75000"/>
                  <a:lumOff val="25000"/>
                </a:schemeClr>
              </a:solidFill>
              <a:latin typeface="Arial Rounded MT Bold" panose="020F0704030504030204" pitchFamily="34" charset="0"/>
            </a:endParaRPr>
          </a:p>
        </c:rich>
      </c:tx>
      <c:layout>
        <c:manualLayout>
          <c:xMode val="edge"/>
          <c:yMode val="edge"/>
          <c:x val="0.16960153425801683"/>
          <c:y val="3.3207805546045868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ATR Red Circular</c:v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bg1"/>
              </a:solidFill>
              <a:ln w="9525">
                <a:solidFill>
                  <a:srgbClr val="0070C0"/>
                </a:solidFill>
              </a:ln>
              <a:effectLst/>
            </c:spPr>
          </c:marker>
          <c:dLbls>
            <c:dLbl>
              <c:idx val="6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539-4ACA-BAF1-A86E4C29F931}"/>
                </c:ext>
              </c:extLst>
            </c:dLbl>
            <c:dLbl>
              <c:idx val="8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539-4ACA-BAF1-A86E4C29F931}"/>
                </c:ext>
              </c:extLst>
            </c:dLbl>
            <c:dLbl>
              <c:idx val="9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539-4ACA-BAF1-A86E4C29F931}"/>
                </c:ext>
              </c:extLst>
            </c:dLbl>
            <c:dLbl>
              <c:idx val="10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539-4ACA-BAF1-A86E4C29F931}"/>
                </c:ext>
              </c:extLst>
            </c:dLbl>
            <c:dLbl>
              <c:idx val="12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539-4ACA-BAF1-A86E4C29F931}"/>
                </c:ext>
              </c:extLst>
            </c:dLbl>
            <c:dLbl>
              <c:idx val="13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539-4ACA-BAF1-A86E4C29F931}"/>
                </c:ext>
              </c:extLst>
            </c:dLbl>
            <c:dLbl>
              <c:idx val="14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539-4ACA-BAF1-A86E4C29F931}"/>
                </c:ext>
              </c:extLst>
            </c:dLbl>
            <c:dLbl>
              <c:idx val="15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539-4ACA-BAF1-A86E4C29F93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rgbClr val="0070C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'PS GNL Monocliente G2 Medios'!$E$10:$E$15</c:f>
              <c:strCache>
                <c:ptCount val="6"/>
                <c:pt idx="0">
                  <c:v>2.1</c:v>
                </c:pt>
                <c:pt idx="1">
                  <c:v>2.2</c:v>
                </c:pt>
                <c:pt idx="2">
                  <c:v>2.3</c:v>
                </c:pt>
                <c:pt idx="3">
                  <c:v>2.4</c:v>
                </c:pt>
                <c:pt idx="4">
                  <c:v>2.5</c:v>
                </c:pt>
                <c:pt idx="5">
                  <c:v>2.6</c:v>
                </c:pt>
              </c:strCache>
            </c:strRef>
          </c:cat>
          <c:val>
            <c:numRef>
              <c:f>'PS GNL Monocliente G2 Medios'!$AF$10:$AF$15</c:f>
              <c:numCache>
                <c:formatCode>0.00</c:formatCode>
                <c:ptCount val="6"/>
                <c:pt idx="0">
                  <c:v>23.149814667240896</c:v>
                </c:pt>
                <c:pt idx="1">
                  <c:v>17.546333164936151</c:v>
                </c:pt>
                <c:pt idx="2">
                  <c:v>7.3222324375503636</c:v>
                </c:pt>
                <c:pt idx="3">
                  <c:v>5.2161051208702665</c:v>
                </c:pt>
                <c:pt idx="4">
                  <c:v>3.8033097945205481</c:v>
                </c:pt>
                <c:pt idx="5">
                  <c:v>3.3514999637389198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44F6-4759-A5B0-C1A33E093CF2}"/>
            </c:ext>
          </c:extLst>
        </c:ser>
        <c:ser>
          <c:idx val="1"/>
          <c:order val="1"/>
          <c:tx>
            <c:v>PS GNL Monocliente</c:v>
          </c:tx>
          <c:marker>
            <c:symbol val="circle"/>
            <c:size val="5"/>
            <c:spPr>
              <a:solidFill>
                <a:schemeClr val="bg1"/>
              </a:solidFill>
            </c:spPr>
          </c:marker>
          <c:dLbls>
            <c:dLbl>
              <c:idx val="0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539-4ACA-BAF1-A86E4C29F931}"/>
                </c:ext>
              </c:extLst>
            </c:dLbl>
            <c:dLbl>
              <c:idx val="2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539-4ACA-BAF1-A86E4C29F931}"/>
                </c:ext>
              </c:extLst>
            </c:dLbl>
            <c:dLbl>
              <c:idx val="3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539-4ACA-BAF1-A86E4C29F931}"/>
                </c:ext>
              </c:extLst>
            </c:dLbl>
            <c:dLbl>
              <c:idx val="4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539-4ACA-BAF1-A86E4C29F931}"/>
                </c:ext>
              </c:extLst>
            </c:dLbl>
            <c:dLbl>
              <c:idx val="5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8539-4ACA-BAF1-A86E4C29F93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>
                    <a:solidFill>
                      <a:srgbClr val="C00000"/>
                    </a:solidFill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'PS GNL Monocliente G2 Medios'!$E$10:$E$15</c:f>
              <c:strCache>
                <c:ptCount val="6"/>
                <c:pt idx="0">
                  <c:v>2.1</c:v>
                </c:pt>
                <c:pt idx="1">
                  <c:v>2.2</c:v>
                </c:pt>
                <c:pt idx="2">
                  <c:v>2.3</c:v>
                </c:pt>
                <c:pt idx="3">
                  <c:v>2.4</c:v>
                </c:pt>
                <c:pt idx="4">
                  <c:v>2.5</c:v>
                </c:pt>
                <c:pt idx="5">
                  <c:v>2.6</c:v>
                </c:pt>
              </c:strCache>
            </c:strRef>
          </c:cat>
          <c:val>
            <c:numRef>
              <c:f>'PS GNL Monocliente G2 Medios'!$AR$10:$AR$15</c:f>
              <c:numCache>
                <c:formatCode>0.00</c:formatCode>
                <c:ptCount val="6"/>
                <c:pt idx="0">
                  <c:v>2.9811924051903866</c:v>
                </c:pt>
                <c:pt idx="1">
                  <c:v>2.9811924051903866</c:v>
                </c:pt>
                <c:pt idx="2">
                  <c:v>2.9811924051903866</c:v>
                </c:pt>
                <c:pt idx="3">
                  <c:v>2.9811924051903862</c:v>
                </c:pt>
                <c:pt idx="4">
                  <c:v>2.9811924051903871</c:v>
                </c:pt>
                <c:pt idx="5">
                  <c:v>2.9811924051903866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D-8539-4ACA-BAF1-A86E4C29F9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483328"/>
        <c:axId val="86485248"/>
      </c:lineChart>
      <c:catAx>
        <c:axId val="864833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rgbClr val="0070C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es-ES" sz="1400">
                    <a:solidFill>
                      <a:srgbClr val="0070C0"/>
                    </a:solidFill>
                  </a:rPr>
                  <a:t>Peaje Grupo 2</a:t>
                </a:r>
              </a:p>
            </c:rich>
          </c:tx>
          <c:layout>
            <c:manualLayout>
              <c:xMode val="edge"/>
              <c:yMode val="edge"/>
              <c:x val="0.44897052034833324"/>
              <c:y val="0.91189423332952946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cross"/>
        <c:minorTickMark val="none"/>
        <c:tickLblPos val="low"/>
        <c:spPr>
          <a:noFill/>
          <a:ln w="12700" cap="flat" cmpd="sng" algn="ctr">
            <a:solidFill>
              <a:srgbClr val="002060"/>
            </a:solidFill>
            <a:round/>
          </a:ln>
          <a:effectLst/>
        </c:spPr>
        <c:txPr>
          <a:bodyPr rot="-4020000" spcFirstLastPara="1" vertOverflow="ellipsis" wrap="square" anchor="ctr" anchorCtr="1"/>
          <a:lstStyle/>
          <a:p>
            <a:pPr>
              <a:defRPr sz="1400" b="0" i="0" u="none" strike="noStrike" kern="1200" baseline="0">
                <a:solidFill>
                  <a:srgbClr val="0070C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s-ES"/>
          </a:p>
        </c:txPr>
        <c:crossAx val="86485248"/>
        <c:crossesAt val="0"/>
        <c:auto val="1"/>
        <c:lblAlgn val="ctr"/>
        <c:lblOffset val="100"/>
        <c:noMultiLvlLbl val="0"/>
      </c:catAx>
      <c:valAx>
        <c:axId val="864852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lgDash"/>
              <a:round/>
            </a:ln>
            <a:effectLst/>
          </c:spPr>
        </c:majorGridlines>
        <c:numFmt formatCode="#,##0.0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s-ES"/>
          </a:p>
        </c:txPr>
        <c:crossAx val="86483328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Arial Narrow" panose="020B060602020203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75000"/>
                    <a:lumOff val="25000"/>
                  </a:schemeClr>
                </a:solidFill>
                <a:latin typeface="Arial Rounded MT Bold" panose="020F0704030504030204" pitchFamily="34" charset="0"/>
                <a:ea typeface="+mn-ea"/>
                <a:cs typeface="+mn-cs"/>
              </a:defRPr>
            </a:pPr>
            <a:r>
              <a:rPr lang="el-GR" sz="1400">
                <a:solidFill>
                  <a:schemeClr val="tx1">
                    <a:lumMod val="75000"/>
                    <a:lumOff val="25000"/>
                  </a:schemeClr>
                </a:solidFill>
              </a:rPr>
              <a:t>Δ</a:t>
            </a:r>
            <a:r>
              <a:rPr lang="en-US" sz="1400">
                <a:solidFill>
                  <a:schemeClr val="tx1">
                    <a:lumMod val="75000"/>
                    <a:lumOff val="25000"/>
                  </a:schemeClr>
                </a:solidFill>
                <a:latin typeface="Arial Rounded MT Bold" panose="020F0704030504030204" pitchFamily="34" charset="0"/>
              </a:rPr>
              <a:t> €/MWh</a:t>
            </a:r>
            <a:r>
              <a:rPr lang="en-US" sz="1400" baseline="0">
                <a:solidFill>
                  <a:schemeClr val="tx1">
                    <a:lumMod val="75000"/>
                    <a:lumOff val="25000"/>
                  </a:schemeClr>
                </a:solidFill>
                <a:latin typeface="Arial Rounded MT Bold" panose="020F0704030504030204" pitchFamily="34" charset="0"/>
              </a:rPr>
              <a:t> ATR</a:t>
            </a:r>
            <a:r>
              <a:rPr lang="en-US" sz="1400">
                <a:solidFill>
                  <a:schemeClr val="tx1">
                    <a:lumMod val="75000"/>
                    <a:lumOff val="25000"/>
                  </a:schemeClr>
                </a:solidFill>
                <a:latin typeface="Arial Rounded MT Bold" panose="020F0704030504030204" pitchFamily="34" charset="0"/>
              </a:rPr>
              <a:t> Grupo 2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'Grupo 2'!$BB$9</c:f>
              <c:strCache>
                <c:ptCount val="1"/>
                <c:pt idx="0">
                  <c:v>D €/MWh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Pt>
            <c:idx val="17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6D37-4FB8-8997-015D280517A7}"/>
              </c:ext>
            </c:extLst>
          </c:dPt>
          <c:dPt>
            <c:idx val="18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6D37-4FB8-8997-015D280517A7}"/>
              </c:ext>
            </c:extLst>
          </c:dPt>
          <c:dPt>
            <c:idx val="19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6D37-4FB8-8997-015D280517A7}"/>
              </c:ext>
            </c:extLst>
          </c:dPt>
          <c:dPt>
            <c:idx val="20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0-94A7-4601-973D-48B1BE4D2908}"/>
              </c:ext>
            </c:extLst>
          </c:dPt>
          <c:dPt>
            <c:idx val="21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94A7-4601-973D-48B1BE4D2908}"/>
              </c:ext>
            </c:extLst>
          </c:dPt>
          <c:dPt>
            <c:idx val="22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94A7-4601-973D-48B1BE4D2908}"/>
              </c:ext>
            </c:extLst>
          </c:dPt>
          <c:dPt>
            <c:idx val="23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94A7-4601-973D-48B1BE4D2908}"/>
              </c:ext>
            </c:extLst>
          </c:dPt>
          <c:dPt>
            <c:idx val="24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94A7-4601-973D-48B1BE4D2908}"/>
              </c:ext>
            </c:extLst>
          </c:dPt>
          <c:dPt>
            <c:idx val="25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94A7-4601-973D-48B1BE4D2908}"/>
              </c:ext>
            </c:extLst>
          </c:dPt>
          <c:dPt>
            <c:idx val="26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A-94A7-4601-973D-48B1BE4D2908}"/>
              </c:ext>
            </c:extLst>
          </c:dPt>
          <c:dPt>
            <c:idx val="27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94A7-4601-973D-48B1BE4D2908}"/>
              </c:ext>
            </c:extLst>
          </c:dPt>
          <c:dPt>
            <c:idx val="28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8-94A7-4601-973D-48B1BE4D2908}"/>
              </c:ext>
            </c:extLst>
          </c:dPt>
          <c:dPt>
            <c:idx val="29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94A7-4601-973D-48B1BE4D2908}"/>
              </c:ext>
            </c:extLst>
          </c:dPt>
          <c:dPt>
            <c:idx val="30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94A7-4601-973D-48B1BE4D2908}"/>
              </c:ext>
            </c:extLst>
          </c:dPt>
          <c:dPt>
            <c:idx val="31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94A7-4601-973D-48B1BE4D2908}"/>
              </c:ext>
            </c:extLst>
          </c:dPt>
          <c:dPt>
            <c:idx val="32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F-6D37-4FB8-8997-015D280517A7}"/>
              </c:ext>
            </c:extLst>
          </c:dPt>
          <c:dPt>
            <c:idx val="33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1-6D37-4FB8-8997-015D280517A7}"/>
              </c:ext>
            </c:extLst>
          </c:dPt>
          <c:dPt>
            <c:idx val="34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3-6D37-4FB8-8997-015D280517A7}"/>
              </c:ext>
            </c:extLst>
          </c:dPt>
          <c:dPt>
            <c:idx val="35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5-6D37-4FB8-8997-015D280517A7}"/>
              </c:ext>
            </c:extLst>
          </c:dPt>
          <c:dPt>
            <c:idx val="36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7-6D37-4FB8-8997-015D280517A7}"/>
              </c:ext>
            </c:extLst>
          </c:dPt>
          <c:dPt>
            <c:idx val="37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9-6D37-4FB8-8997-015D280517A7}"/>
              </c:ext>
            </c:extLst>
          </c:dPt>
          <c:dPt>
            <c:idx val="38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B-6D37-4FB8-8997-015D280517A7}"/>
              </c:ext>
            </c:extLst>
          </c:dPt>
          <c:dPt>
            <c:idx val="39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D-6D37-4FB8-8997-015D280517A7}"/>
              </c:ext>
            </c:extLst>
          </c:dPt>
          <c:dLbls>
            <c:dLbl>
              <c:idx val="26"/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rgbClr val="00B05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7"/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rgbClr val="00B05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8"/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rgbClr val="00B05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9"/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rgbClr val="00B05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rgbClr val="C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'Grupo 2'!$B$10:$B$39</c:f>
              <c:numCache>
                <c:formatCode>#,##0</c:formatCode>
                <c:ptCount val="30"/>
                <c:pt idx="0">
                  <c:v>100</c:v>
                </c:pt>
                <c:pt idx="1">
                  <c:v>500</c:v>
                </c:pt>
                <c:pt idx="2">
                  <c:v>750</c:v>
                </c:pt>
                <c:pt idx="3">
                  <c:v>1000</c:v>
                </c:pt>
                <c:pt idx="4">
                  <c:v>1500</c:v>
                </c:pt>
                <c:pt idx="5">
                  <c:v>3000</c:v>
                </c:pt>
                <c:pt idx="6">
                  <c:v>4000</c:v>
                </c:pt>
                <c:pt idx="7">
                  <c:v>5000</c:v>
                </c:pt>
                <c:pt idx="8">
                  <c:v>7500</c:v>
                </c:pt>
                <c:pt idx="9">
                  <c:v>10000</c:v>
                </c:pt>
                <c:pt idx="10">
                  <c:v>15000</c:v>
                </c:pt>
                <c:pt idx="11">
                  <c:v>20000</c:v>
                </c:pt>
                <c:pt idx="12">
                  <c:v>25000</c:v>
                </c:pt>
                <c:pt idx="13">
                  <c:v>30000</c:v>
                </c:pt>
                <c:pt idx="14">
                  <c:v>35000</c:v>
                </c:pt>
                <c:pt idx="15">
                  <c:v>40000</c:v>
                </c:pt>
                <c:pt idx="16">
                  <c:v>50000</c:v>
                </c:pt>
                <c:pt idx="17">
                  <c:v>75000</c:v>
                </c:pt>
                <c:pt idx="18">
                  <c:v>100000</c:v>
                </c:pt>
                <c:pt idx="19">
                  <c:v>200000</c:v>
                </c:pt>
                <c:pt idx="20">
                  <c:v>250000</c:v>
                </c:pt>
                <c:pt idx="21">
                  <c:v>300000</c:v>
                </c:pt>
                <c:pt idx="22">
                  <c:v>350000</c:v>
                </c:pt>
                <c:pt idx="23">
                  <c:v>400000</c:v>
                </c:pt>
                <c:pt idx="24">
                  <c:v>450000</c:v>
                </c:pt>
                <c:pt idx="25">
                  <c:v>500000</c:v>
                </c:pt>
                <c:pt idx="26">
                  <c:v>700000</c:v>
                </c:pt>
                <c:pt idx="27">
                  <c:v>900000</c:v>
                </c:pt>
                <c:pt idx="28">
                  <c:v>1000000</c:v>
                </c:pt>
                <c:pt idx="29">
                  <c:v>2000000</c:v>
                </c:pt>
              </c:numCache>
            </c:numRef>
          </c:cat>
          <c:val>
            <c:numRef>
              <c:f>'Grupo 2'!$BB$10:$BB$39</c:f>
              <c:numCache>
                <c:formatCode>#,##0.00</c:formatCode>
                <c:ptCount val="30"/>
                <c:pt idx="0">
                  <c:v>9.6431066357775954</c:v>
                </c:pt>
                <c:pt idx="1">
                  <c:v>9.6327226357776023</c:v>
                </c:pt>
                <c:pt idx="2">
                  <c:v>15.379520289282837</c:v>
                </c:pt>
                <c:pt idx="3">
                  <c:v>14.491804289282836</c:v>
                </c:pt>
                <c:pt idx="4">
                  <c:v>13.604088289282839</c:v>
                </c:pt>
                <c:pt idx="5">
                  <c:v>10.529064289282839</c:v>
                </c:pt>
                <c:pt idx="6">
                  <c:v>9.4182122892828382</c:v>
                </c:pt>
                <c:pt idx="7">
                  <c:v>8.751701089282836</c:v>
                </c:pt>
                <c:pt idx="8">
                  <c:v>3.0396756285253836</c:v>
                </c:pt>
                <c:pt idx="9">
                  <c:v>3.0396756285253828</c:v>
                </c:pt>
                <c:pt idx="10">
                  <c:v>3.0396756285253836</c:v>
                </c:pt>
                <c:pt idx="11">
                  <c:v>0.93354831184528564</c:v>
                </c:pt>
                <c:pt idx="12">
                  <c:v>0.93354831184528653</c:v>
                </c:pt>
                <c:pt idx="13">
                  <c:v>0.93354831184528564</c:v>
                </c:pt>
                <c:pt idx="14">
                  <c:v>1.2070180942788076</c:v>
                </c:pt>
                <c:pt idx="15">
                  <c:v>1.2070180942788067</c:v>
                </c:pt>
                <c:pt idx="16">
                  <c:v>1.2070180942788076</c:v>
                </c:pt>
                <c:pt idx="17">
                  <c:v>3.3105120870264848E-2</c:v>
                </c:pt>
                <c:pt idx="18">
                  <c:v>3.3105120870266624E-2</c:v>
                </c:pt>
                <c:pt idx="19">
                  <c:v>6.0751373892022897E-2</c:v>
                </c:pt>
                <c:pt idx="20">
                  <c:v>6.0751373892022453E-2</c:v>
                </c:pt>
                <c:pt idx="21">
                  <c:v>6.0751373892022897E-2</c:v>
                </c:pt>
                <c:pt idx="22">
                  <c:v>6.0751373892022453E-2</c:v>
                </c:pt>
                <c:pt idx="23">
                  <c:v>6.0751373892022897E-2</c:v>
                </c:pt>
                <c:pt idx="24">
                  <c:v>6.0751373892022009E-2</c:v>
                </c:pt>
                <c:pt idx="25">
                  <c:v>6.0751373892022453E-2</c:v>
                </c:pt>
                <c:pt idx="26">
                  <c:v>-0.14251454069298974</c:v>
                </c:pt>
                <c:pt idx="27">
                  <c:v>-0.14251454069298974</c:v>
                </c:pt>
                <c:pt idx="28">
                  <c:v>-0.14251454069298974</c:v>
                </c:pt>
                <c:pt idx="29">
                  <c:v>-0.14251454069298974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9A52-49EF-8CF6-F9B5C41CCC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8"/>
        <c:overlap val="-100"/>
        <c:axId val="182786304"/>
        <c:axId val="182800768"/>
      </c:barChart>
      <c:catAx>
        <c:axId val="1827863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rgbClr val="0070C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es-ES" sz="1400">
                    <a:solidFill>
                      <a:srgbClr val="0070C0"/>
                    </a:solidFill>
                  </a:rPr>
                  <a:t>Consumo</a:t>
                </a:r>
                <a:r>
                  <a:rPr lang="es-ES" sz="1400" baseline="0">
                    <a:solidFill>
                      <a:srgbClr val="0070C0"/>
                    </a:solidFill>
                  </a:rPr>
                  <a:t> MWh/año</a:t>
                </a:r>
                <a:endParaRPr lang="es-ES" sz="1400">
                  <a:solidFill>
                    <a:srgbClr val="0070C0"/>
                  </a:solidFill>
                </a:endParaRPr>
              </a:p>
            </c:rich>
          </c:tx>
          <c:layout>
            <c:manualLayout>
              <c:xMode val="edge"/>
              <c:yMode val="edge"/>
              <c:x val="0.43311625440759305"/>
              <c:y val="0.91666652068936316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" sourceLinked="1"/>
        <c:majorTickMark val="cross"/>
        <c:minorTickMark val="none"/>
        <c:tickLblPos val="low"/>
        <c:spPr>
          <a:noFill/>
          <a:ln w="15875" cap="flat" cmpd="sng" algn="ctr">
            <a:solidFill>
              <a:srgbClr val="002060"/>
            </a:solidFill>
            <a:round/>
          </a:ln>
          <a:effectLst/>
        </c:spPr>
        <c:txPr>
          <a:bodyPr rot="-414000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rgbClr val="0070C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s-ES"/>
          </a:p>
        </c:txPr>
        <c:crossAx val="182800768"/>
        <c:crossesAt val="0"/>
        <c:auto val="1"/>
        <c:lblAlgn val="ctr"/>
        <c:lblOffset val="100"/>
        <c:noMultiLvlLbl val="0"/>
      </c:catAx>
      <c:valAx>
        <c:axId val="182800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lgDash"/>
              <a:round/>
            </a:ln>
            <a:effectLst/>
          </c:spPr>
        </c:majorGridlines>
        <c:numFmt formatCode="#,##0\ &quot;€&quot;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75000"/>
                    <a:lumOff val="2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s-ES"/>
          </a:p>
        </c:txPr>
        <c:crossAx val="1827863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Arial Narrow" panose="020B060602020203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75000"/>
                    <a:lumOff val="25000"/>
                  </a:schemeClr>
                </a:solidFill>
                <a:latin typeface="Arial Rounded MT Bold" panose="020F0704030504030204" pitchFamily="34" charset="0"/>
                <a:ea typeface="+mn-ea"/>
                <a:cs typeface="+mn-cs"/>
              </a:defRPr>
            </a:pPr>
            <a:r>
              <a:rPr lang="el-GR" sz="1400">
                <a:solidFill>
                  <a:schemeClr val="tx1">
                    <a:lumMod val="75000"/>
                    <a:lumOff val="25000"/>
                  </a:schemeClr>
                </a:solidFill>
              </a:rPr>
              <a:t>Δ</a:t>
            </a:r>
            <a:r>
              <a:rPr lang="en-US" sz="1400">
                <a:solidFill>
                  <a:schemeClr val="tx1">
                    <a:lumMod val="75000"/>
                    <a:lumOff val="25000"/>
                  </a:schemeClr>
                </a:solidFill>
                <a:latin typeface="Arial Rounded MT Bold" panose="020F0704030504030204" pitchFamily="34" charset="0"/>
              </a:rPr>
              <a:t> €/MWh ATR G2 Tamaño Medio</a:t>
            </a:r>
            <a:r>
              <a:rPr lang="en-US" sz="1400" baseline="0">
                <a:solidFill>
                  <a:schemeClr val="tx1">
                    <a:lumMod val="75000"/>
                    <a:lumOff val="25000"/>
                  </a:schemeClr>
                </a:solidFill>
                <a:latin typeface="Arial Rounded MT Bold" panose="020F0704030504030204" pitchFamily="34" charset="0"/>
              </a:rPr>
              <a:t> Vs </a:t>
            </a:r>
            <a:r>
              <a:rPr lang="en-US" sz="1400">
                <a:solidFill>
                  <a:schemeClr val="tx1">
                    <a:lumMod val="75000"/>
                    <a:lumOff val="25000"/>
                  </a:schemeClr>
                </a:solidFill>
                <a:latin typeface="Arial Rounded MT Bold" panose="020F0704030504030204" pitchFamily="34" charset="0"/>
              </a:rPr>
              <a:t> PS</a:t>
            </a:r>
            <a:r>
              <a:rPr lang="en-US" sz="1400" baseline="0">
                <a:solidFill>
                  <a:schemeClr val="tx1">
                    <a:lumMod val="75000"/>
                    <a:lumOff val="25000"/>
                  </a:schemeClr>
                </a:solidFill>
                <a:latin typeface="Arial Rounded MT Bold" panose="020F0704030504030204" pitchFamily="34" charset="0"/>
              </a:rPr>
              <a:t> GNL Monocliente</a:t>
            </a:r>
            <a:endParaRPr lang="en-US" sz="1400">
              <a:solidFill>
                <a:schemeClr val="tx1">
                  <a:lumMod val="75000"/>
                  <a:lumOff val="25000"/>
                </a:schemeClr>
              </a:solidFill>
              <a:latin typeface="Arial Rounded MT Bold" panose="020F0704030504030204" pitchFamily="34" charset="0"/>
            </a:endParaRPr>
          </a:p>
        </c:rich>
      </c:tx>
      <c:layout>
        <c:manualLayout>
          <c:xMode val="edge"/>
          <c:yMode val="edge"/>
          <c:x val="0.20570024095017908"/>
          <c:y val="2.7763502745704532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'PS GNL Monocliente G2 Medios'!$AV$9</c:f>
              <c:strCache>
                <c:ptCount val="1"/>
                <c:pt idx="0">
                  <c:v>D €/MWh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Pt>
            <c:idx val="20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5C8E-4470-913A-002512E6D3CD}"/>
              </c:ext>
            </c:extLst>
          </c:dPt>
          <c:dPt>
            <c:idx val="21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5C8E-4470-913A-002512E6D3CD}"/>
              </c:ext>
            </c:extLst>
          </c:dPt>
          <c:dPt>
            <c:idx val="22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5-5C8E-4470-913A-002512E6D3CD}"/>
              </c:ext>
            </c:extLst>
          </c:dPt>
          <c:dPt>
            <c:idx val="23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7-5C8E-4470-913A-002512E6D3CD}"/>
              </c:ext>
            </c:extLst>
          </c:dPt>
          <c:dPt>
            <c:idx val="24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9-5C8E-4470-913A-002512E6D3CD}"/>
              </c:ext>
            </c:extLst>
          </c:dPt>
          <c:dPt>
            <c:idx val="25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B-5C8E-4470-913A-002512E6D3CD}"/>
              </c:ext>
            </c:extLst>
          </c:dPt>
          <c:dPt>
            <c:idx val="26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D-5C8E-4470-913A-002512E6D3CD}"/>
              </c:ext>
            </c:extLst>
          </c:dPt>
          <c:dPt>
            <c:idx val="27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F-5C8E-4470-913A-002512E6D3CD}"/>
              </c:ext>
            </c:extLst>
          </c:dPt>
          <c:dPt>
            <c:idx val="28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11-5C8E-4470-913A-002512E6D3CD}"/>
              </c:ext>
            </c:extLst>
          </c:dPt>
          <c:dPt>
            <c:idx val="29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13-5C8E-4470-913A-002512E6D3CD}"/>
              </c:ext>
            </c:extLst>
          </c:dPt>
          <c:dPt>
            <c:idx val="30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15-5C8E-4470-913A-002512E6D3CD}"/>
              </c:ext>
            </c:extLst>
          </c:dPt>
          <c:dPt>
            <c:idx val="31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17-5C8E-4470-913A-002512E6D3CD}"/>
              </c:ext>
            </c:extLst>
          </c:dPt>
          <c:dLbls>
            <c:numFmt formatCode="#,##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>
                    <a:solidFill>
                      <a:srgbClr val="C00000"/>
                    </a:solidFill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'PS GNL Monocliente G2 Medios'!$E$10:$E$15</c:f>
              <c:strCache>
                <c:ptCount val="6"/>
                <c:pt idx="0">
                  <c:v>2.1</c:v>
                </c:pt>
                <c:pt idx="1">
                  <c:v>2.2</c:v>
                </c:pt>
                <c:pt idx="2">
                  <c:v>2.3</c:v>
                </c:pt>
                <c:pt idx="3">
                  <c:v>2.4</c:v>
                </c:pt>
                <c:pt idx="4">
                  <c:v>2.5</c:v>
                </c:pt>
                <c:pt idx="5">
                  <c:v>2.6</c:v>
                </c:pt>
              </c:strCache>
            </c:strRef>
          </c:cat>
          <c:val>
            <c:numRef>
              <c:f>'PS GNL Monocliente G2 Medios'!$AV$10:$AV$15</c:f>
              <c:numCache>
                <c:formatCode>#,##0.00</c:formatCode>
                <c:ptCount val="6"/>
                <c:pt idx="0">
                  <c:v>20.168622262050508</c:v>
                </c:pt>
                <c:pt idx="1">
                  <c:v>14.565140759745764</c:v>
                </c:pt>
                <c:pt idx="2">
                  <c:v>4.3410400323599774</c:v>
                </c:pt>
                <c:pt idx="3">
                  <c:v>2.2349127156798803</c:v>
                </c:pt>
                <c:pt idx="4">
                  <c:v>0.82211738933016099</c:v>
                </c:pt>
                <c:pt idx="5">
                  <c:v>0.37030755854853314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8-5C8E-4470-913A-002512E6D3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8"/>
        <c:overlap val="-100"/>
        <c:axId val="86753664"/>
        <c:axId val="86755584"/>
      </c:barChart>
      <c:catAx>
        <c:axId val="867536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rgbClr val="0070C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es-ES" sz="1400">
                    <a:solidFill>
                      <a:srgbClr val="0070C0"/>
                    </a:solidFill>
                  </a:rPr>
                  <a:t>Peaje Grupo 2</a:t>
                </a:r>
              </a:p>
            </c:rich>
          </c:tx>
          <c:layout>
            <c:manualLayout>
              <c:xMode val="edge"/>
              <c:yMode val="edge"/>
              <c:x val="0.43311625440759305"/>
              <c:y val="0.91666652068936316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cross"/>
        <c:minorTickMark val="none"/>
        <c:tickLblPos val="low"/>
        <c:spPr>
          <a:noFill/>
          <a:ln w="15875" cap="flat" cmpd="sng" algn="ctr">
            <a:solidFill>
              <a:srgbClr val="002060"/>
            </a:solidFill>
            <a:round/>
          </a:ln>
          <a:effectLst/>
        </c:spPr>
        <c:txPr>
          <a:bodyPr rot="-4140000" spcFirstLastPara="1" vertOverflow="ellipsis" wrap="square" anchor="ctr" anchorCtr="1"/>
          <a:lstStyle/>
          <a:p>
            <a:pPr>
              <a:defRPr sz="1400" b="0" i="0" u="none" strike="noStrike" kern="1200" baseline="0">
                <a:solidFill>
                  <a:srgbClr val="0070C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s-ES"/>
          </a:p>
        </c:txPr>
        <c:crossAx val="86755584"/>
        <c:crossesAt val="0"/>
        <c:auto val="1"/>
        <c:lblAlgn val="ctr"/>
        <c:lblOffset val="100"/>
        <c:noMultiLvlLbl val="0"/>
      </c:catAx>
      <c:valAx>
        <c:axId val="86755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lgDash"/>
              <a:round/>
            </a:ln>
            <a:effectLst/>
          </c:spPr>
        </c:majorGridlines>
        <c:numFmt formatCode="#,##0\ &quot;€&quot;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75000"/>
                    <a:lumOff val="2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s-ES"/>
          </a:p>
        </c:txPr>
        <c:crossAx val="867536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Arial Narrow" panose="020B060602020203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1457472822916316E-2"/>
          <c:y val="8.2786652904990335E-2"/>
          <c:w val="0.8913845175062054"/>
          <c:h val="0.50503491268043266"/>
        </c:manualLayout>
      </c:layout>
      <c:lineChart>
        <c:grouping val="standard"/>
        <c:varyColors val="0"/>
        <c:ser>
          <c:idx val="0"/>
          <c:order val="0"/>
          <c:tx>
            <c:strRef>
              <c:f>Discontinuidades!$D$2</c:f>
              <c:strCache>
                <c:ptCount val="1"/>
                <c:pt idx="0">
                  <c:v>Peajes Actuales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Discontinuidades!$B$5:$B$34</c:f>
              <c:numCache>
                <c:formatCode>#,##0</c:formatCode>
                <c:ptCount val="30"/>
                <c:pt idx="0">
                  <c:v>2000</c:v>
                </c:pt>
                <c:pt idx="1">
                  <c:v>3000</c:v>
                </c:pt>
                <c:pt idx="2">
                  <c:v>3001</c:v>
                </c:pt>
                <c:pt idx="3">
                  <c:v>6000</c:v>
                </c:pt>
                <c:pt idx="4">
                  <c:v>8000</c:v>
                </c:pt>
                <c:pt idx="5">
                  <c:v>10000</c:v>
                </c:pt>
                <c:pt idx="6">
                  <c:v>15000</c:v>
                </c:pt>
                <c:pt idx="7">
                  <c:v>15001</c:v>
                </c:pt>
                <c:pt idx="8">
                  <c:v>20000</c:v>
                </c:pt>
                <c:pt idx="9">
                  <c:v>25000</c:v>
                </c:pt>
                <c:pt idx="10">
                  <c:v>30000</c:v>
                </c:pt>
                <c:pt idx="11">
                  <c:v>35000</c:v>
                </c:pt>
                <c:pt idx="12">
                  <c:v>40000</c:v>
                </c:pt>
                <c:pt idx="13">
                  <c:v>45000</c:v>
                </c:pt>
                <c:pt idx="14">
                  <c:v>50000</c:v>
                </c:pt>
                <c:pt idx="15">
                  <c:v>50001</c:v>
                </c:pt>
                <c:pt idx="16">
                  <c:v>100000</c:v>
                </c:pt>
                <c:pt idx="17">
                  <c:v>150000</c:v>
                </c:pt>
                <c:pt idx="18">
                  <c:v>200000</c:v>
                </c:pt>
                <c:pt idx="19">
                  <c:v>250000</c:v>
                </c:pt>
                <c:pt idx="20">
                  <c:v>300000</c:v>
                </c:pt>
                <c:pt idx="21">
                  <c:v>300001</c:v>
                </c:pt>
                <c:pt idx="22">
                  <c:v>500000</c:v>
                </c:pt>
                <c:pt idx="23">
                  <c:v>1000000</c:v>
                </c:pt>
                <c:pt idx="24">
                  <c:v>1500000</c:v>
                </c:pt>
                <c:pt idx="25">
                  <c:v>1500001</c:v>
                </c:pt>
                <c:pt idx="26">
                  <c:v>2000000</c:v>
                </c:pt>
                <c:pt idx="27">
                  <c:v>3000000</c:v>
                </c:pt>
                <c:pt idx="28">
                  <c:v>4000000</c:v>
                </c:pt>
                <c:pt idx="29">
                  <c:v>5000000</c:v>
                </c:pt>
              </c:numCache>
            </c:numRef>
          </c:cat>
          <c:val>
            <c:numRef>
              <c:f>Discontinuidades!$H$5:$H$34</c:f>
              <c:numCache>
                <c:formatCode>_("€"* #,##0.00_);_("€"* \(#,##0.00\);_("€"* "-"??_);_(@_)</c:formatCode>
                <c:ptCount val="30"/>
                <c:pt idx="0">
                  <c:v>44.466999999999999</c:v>
                </c:pt>
                <c:pt idx="1">
                  <c:v>39.407000000000004</c:v>
                </c:pt>
                <c:pt idx="2">
                  <c:v>39.403627790736422</c:v>
                </c:pt>
                <c:pt idx="3">
                  <c:v>33.992999999999995</c:v>
                </c:pt>
                <c:pt idx="4">
                  <c:v>31.097999999999999</c:v>
                </c:pt>
                <c:pt idx="5">
                  <c:v>29.361000000000001</c:v>
                </c:pt>
                <c:pt idx="6">
                  <c:v>27.045000000000002</c:v>
                </c:pt>
                <c:pt idx="7">
                  <c:v>27.044691220585293</c:v>
                </c:pt>
                <c:pt idx="8">
                  <c:v>25.887</c:v>
                </c:pt>
                <c:pt idx="9">
                  <c:v>25.1922</c:v>
                </c:pt>
                <c:pt idx="10">
                  <c:v>24.728999999999999</c:v>
                </c:pt>
                <c:pt idx="11">
                  <c:v>24.398142857142854</c:v>
                </c:pt>
                <c:pt idx="12">
                  <c:v>24.15</c:v>
                </c:pt>
                <c:pt idx="13">
                  <c:v>23.956999999999997</c:v>
                </c:pt>
                <c:pt idx="14">
                  <c:v>23.802599999999998</c:v>
                </c:pt>
                <c:pt idx="15">
                  <c:v>29.129539749205016</c:v>
                </c:pt>
                <c:pt idx="16">
                  <c:v>22.6234</c:v>
                </c:pt>
                <c:pt idx="17">
                  <c:v>19.489599999999999</c:v>
                </c:pt>
                <c:pt idx="18">
                  <c:v>17.870200000000001</c:v>
                </c:pt>
                <c:pt idx="19">
                  <c:v>16.89856</c:v>
                </c:pt>
                <c:pt idx="20">
                  <c:v>16.250800000000002</c:v>
                </c:pt>
                <c:pt idx="21">
                  <c:v>16.250789204035989</c:v>
                </c:pt>
                <c:pt idx="22">
                  <c:v>14.955280000000002</c:v>
                </c:pt>
                <c:pt idx="23">
                  <c:v>13.983640000000001</c:v>
                </c:pt>
                <c:pt idx="24">
                  <c:v>13.65976</c:v>
                </c:pt>
                <c:pt idx="25">
                  <c:v>13.65975956816029</c:v>
                </c:pt>
                <c:pt idx="26">
                  <c:v>13.497820000000001</c:v>
                </c:pt>
                <c:pt idx="27">
                  <c:v>13.33588</c:v>
                </c:pt>
                <c:pt idx="28">
                  <c:v>13.254910000000002</c:v>
                </c:pt>
                <c:pt idx="29">
                  <c:v>13.206328000000003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602-4A17-A977-F65C3E1AE514}"/>
            </c:ext>
          </c:extLst>
        </c:ser>
        <c:ser>
          <c:idx val="1"/>
          <c:order val="1"/>
          <c:tx>
            <c:strRef>
              <c:f>Discontinuidades!$K$2</c:f>
              <c:strCache>
                <c:ptCount val="1"/>
                <c:pt idx="0">
                  <c:v>Peajes Propuesta Circular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Discontinuidades!$O$5:$O$34</c:f>
              <c:numCache>
                <c:formatCode>_("€"* #,##0.00_);_("€"* \(#,##0.00\);_("€"* "-"??_);_(@_)</c:formatCode>
                <c:ptCount val="30"/>
                <c:pt idx="0">
                  <c:v>18.687999999999999</c:v>
                </c:pt>
                <c:pt idx="1">
                  <c:v>17.661999999999999</c:v>
                </c:pt>
                <c:pt idx="2">
                  <c:v>27.681434521826059</c:v>
                </c:pt>
                <c:pt idx="3">
                  <c:v>22.334999999999997</c:v>
                </c:pt>
                <c:pt idx="4">
                  <c:v>20.997499999999999</c:v>
                </c:pt>
                <c:pt idx="5">
                  <c:v>20.195</c:v>
                </c:pt>
                <c:pt idx="6">
                  <c:v>19.125</c:v>
                </c:pt>
                <c:pt idx="7">
                  <c:v>25.642856742883808</c:v>
                </c:pt>
                <c:pt idx="8">
                  <c:v>22.856200000000001</c:v>
                </c:pt>
                <c:pt idx="9">
                  <c:v>21.183760000000003</c:v>
                </c:pt>
                <c:pt idx="10">
                  <c:v>20.0688</c:v>
                </c:pt>
                <c:pt idx="11">
                  <c:v>19.272400000000001</c:v>
                </c:pt>
                <c:pt idx="12">
                  <c:v>18.6751</c:v>
                </c:pt>
                <c:pt idx="13">
                  <c:v>18.210533333333334</c:v>
                </c:pt>
                <c:pt idx="14">
                  <c:v>17.838880000000003</c:v>
                </c:pt>
                <c:pt idx="15">
                  <c:v>25.228142137157256</c:v>
                </c:pt>
                <c:pt idx="16">
                  <c:v>19.781680000000001</c:v>
                </c:pt>
                <c:pt idx="17">
                  <c:v>17.96612</c:v>
                </c:pt>
                <c:pt idx="18">
                  <c:v>17.058340000000001</c:v>
                </c:pt>
                <c:pt idx="19">
                  <c:v>16.513672</c:v>
                </c:pt>
                <c:pt idx="20">
                  <c:v>16.150559999999999</c:v>
                </c:pt>
                <c:pt idx="21">
                  <c:v>23.322130409565304</c:v>
                </c:pt>
                <c:pt idx="22">
                  <c:v>19.771296000000003</c:v>
                </c:pt>
                <c:pt idx="23">
                  <c:v>17.108148</c:v>
                </c:pt>
                <c:pt idx="24">
                  <c:v>16.220432000000002</c:v>
                </c:pt>
                <c:pt idx="25">
                  <c:v>17.58881007545995</c:v>
                </c:pt>
                <c:pt idx="26">
                  <c:v>15.367112000000001</c:v>
                </c:pt>
                <c:pt idx="27">
                  <c:v>13.145408000000002</c:v>
                </c:pt>
                <c:pt idx="28">
                  <c:v>12.034556</c:v>
                </c:pt>
                <c:pt idx="29">
                  <c:v>11.3680448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602-4A17-A977-F65C3E1AE5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576960"/>
        <c:axId val="87578880"/>
      </c:lineChart>
      <c:catAx>
        <c:axId val="875769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 sz="1200"/>
                  <a:t>kWh/año</a:t>
                </a:r>
              </a:p>
            </c:rich>
          </c:tx>
          <c:layout>
            <c:manualLayout>
              <c:xMode val="edge"/>
              <c:yMode val="edge"/>
              <c:x val="0.42276426958094909"/>
              <c:y val="0.90620471536665148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" sourceLinked="1"/>
        <c:majorTickMark val="cross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87578880"/>
        <c:crosses val="autoZero"/>
        <c:auto val="1"/>
        <c:lblAlgn val="ctr"/>
        <c:lblOffset val="100"/>
        <c:noMultiLvlLbl val="0"/>
      </c:catAx>
      <c:valAx>
        <c:axId val="87578880"/>
        <c:scaling>
          <c:orientation val="minMax"/>
          <c:max val="4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 sz="1200"/>
                  <a:t>Precio medio (€/MWh)</a:t>
                </a:r>
              </a:p>
            </c:rich>
          </c:tx>
          <c:layout>
            <c:manualLayout>
              <c:xMode val="edge"/>
              <c:yMode val="edge"/>
              <c:x val="9.9048510372796734E-3"/>
              <c:y val="0.14436561052292204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_(* #,##0_);_(* \(#,##0\);_(* &quot;-&quot;_);_(@_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8757696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23850493185310187"/>
          <c:y val="1.6488046166529265E-2"/>
          <c:w val="0.49179363225361927"/>
          <c:h val="5.886748006628370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75000"/>
                    <a:lumOff val="25000"/>
                  </a:schemeClr>
                </a:solidFill>
                <a:latin typeface="Arial Rounded MT Bold" panose="020F0704030504030204" pitchFamily="34" charset="0"/>
                <a:ea typeface="+mn-ea"/>
                <a:cs typeface="+mn-cs"/>
              </a:defRPr>
            </a:pPr>
            <a:r>
              <a:rPr lang="el-GR" sz="1400">
                <a:solidFill>
                  <a:schemeClr val="tx1">
                    <a:lumMod val="75000"/>
                    <a:lumOff val="25000"/>
                  </a:schemeClr>
                </a:solidFill>
              </a:rPr>
              <a:t>Δ</a:t>
            </a:r>
            <a:r>
              <a:rPr lang="en-US" sz="1400">
                <a:solidFill>
                  <a:schemeClr val="tx1">
                    <a:lumMod val="75000"/>
                    <a:lumOff val="25000"/>
                  </a:schemeClr>
                </a:solidFill>
                <a:latin typeface="Arial Rounded MT Bold" panose="020F0704030504030204" pitchFamily="34" charset="0"/>
              </a:rPr>
              <a:t> €/año ATR Grupo 2 Promedio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008242308848582"/>
          <c:y val="0.11194080424745022"/>
          <c:w val="0.87929025954504458"/>
          <c:h val="0.6798618966571344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'Grupo 2 Promedio'!$AZ$9</c:f>
              <c:strCache>
                <c:ptCount val="1"/>
                <c:pt idx="0">
                  <c:v>D €/año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AF9-46D1-BF3D-8137EA354413}"/>
              </c:ext>
            </c:extLst>
          </c:dPt>
          <c:dPt>
            <c:idx val="1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5AF9-46D1-BF3D-8137EA354413}"/>
              </c:ext>
            </c:extLst>
          </c:dPt>
          <c:dPt>
            <c:idx val="2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5AF9-46D1-BF3D-8137EA354413}"/>
              </c:ext>
            </c:extLst>
          </c:dPt>
          <c:dPt>
            <c:idx val="3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5AF9-46D1-BF3D-8137EA354413}"/>
              </c:ext>
            </c:extLst>
          </c:dPt>
          <c:dPt>
            <c:idx val="4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5AF9-46D1-BF3D-8137EA354413}"/>
              </c:ext>
            </c:extLst>
          </c:dPt>
          <c:dPt>
            <c:idx val="5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5AF9-46D1-BF3D-8137EA354413}"/>
              </c:ext>
            </c:extLst>
          </c:dPt>
          <c:dPt>
            <c:idx val="20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0-94A7-4601-973D-48B1BE4D2908}"/>
              </c:ext>
            </c:extLst>
          </c:dPt>
          <c:dPt>
            <c:idx val="21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94A7-4601-973D-48B1BE4D2908}"/>
              </c:ext>
            </c:extLst>
          </c:dPt>
          <c:dPt>
            <c:idx val="22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94A7-4601-973D-48B1BE4D2908}"/>
              </c:ext>
            </c:extLst>
          </c:dPt>
          <c:dPt>
            <c:idx val="23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94A7-4601-973D-48B1BE4D2908}"/>
              </c:ext>
            </c:extLst>
          </c:dPt>
          <c:dPt>
            <c:idx val="24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94A7-4601-973D-48B1BE4D2908}"/>
              </c:ext>
            </c:extLst>
          </c:dPt>
          <c:dPt>
            <c:idx val="25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94A7-4601-973D-48B1BE4D2908}"/>
              </c:ext>
            </c:extLst>
          </c:dPt>
          <c:dPt>
            <c:idx val="26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A-94A7-4601-973D-48B1BE4D2908}"/>
              </c:ext>
            </c:extLst>
          </c:dPt>
          <c:dPt>
            <c:idx val="27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94A7-4601-973D-48B1BE4D2908}"/>
              </c:ext>
            </c:extLst>
          </c:dPt>
          <c:dPt>
            <c:idx val="28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8-94A7-4601-973D-48B1BE4D2908}"/>
              </c:ext>
            </c:extLst>
          </c:dPt>
          <c:dPt>
            <c:idx val="29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94A7-4601-973D-48B1BE4D2908}"/>
              </c:ext>
            </c:extLst>
          </c:dPt>
          <c:dPt>
            <c:idx val="30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94A7-4601-973D-48B1BE4D2908}"/>
              </c:ext>
            </c:extLst>
          </c:dPt>
          <c:dPt>
            <c:idx val="31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94A7-4601-973D-48B1BE4D2908}"/>
              </c:ext>
            </c:extLst>
          </c:dPt>
          <c:dLbls>
            <c:dLbl>
              <c:idx val="4"/>
              <c:numFmt formatCode="#,##0\ &quot;€&quot;" sourceLinked="0"/>
              <c:spPr/>
              <c:txPr>
                <a:bodyPr/>
                <a:lstStyle/>
                <a:p>
                  <a:pPr>
                    <a:defRPr sz="1400">
                      <a:solidFill>
                        <a:srgbClr val="C00000"/>
                      </a:solidFill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numFmt formatCode="#,##0\ &quot;€&quot;" sourceLinked="0"/>
              <c:spPr/>
              <c:txPr>
                <a:bodyPr/>
                <a:lstStyle/>
                <a:p>
                  <a:pPr>
                    <a:defRPr sz="1400">
                      <a:solidFill>
                        <a:srgbClr val="00B050"/>
                      </a:solidFill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\ &quot;€&quot;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>
                    <a:solidFill>
                      <a:srgbClr val="C00000"/>
                    </a:solidFill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'Grupo 2 Promedio'!$E$10:$E$15</c:f>
              <c:strCache>
                <c:ptCount val="6"/>
                <c:pt idx="0">
                  <c:v>2.1</c:v>
                </c:pt>
                <c:pt idx="1">
                  <c:v>2.2</c:v>
                </c:pt>
                <c:pt idx="2">
                  <c:v>2.3</c:v>
                </c:pt>
                <c:pt idx="3">
                  <c:v>2.4</c:v>
                </c:pt>
                <c:pt idx="4">
                  <c:v>2.5</c:v>
                </c:pt>
                <c:pt idx="5">
                  <c:v>2.6</c:v>
                </c:pt>
              </c:strCache>
            </c:strRef>
          </c:cat>
          <c:val>
            <c:numRef>
              <c:f>'Grupo 2 Promedio'!$AZ$10:$AZ$15</c:f>
              <c:numCache>
                <c:formatCode>#,##0.00\ "€"</c:formatCode>
                <c:ptCount val="6"/>
                <c:pt idx="0">
                  <c:v>4631.1849725503625</c:v>
                </c:pt>
                <c:pt idx="1">
                  <c:v>26925.580150257854</c:v>
                </c:pt>
                <c:pt idx="2">
                  <c:v>36953.336615983091</c:v>
                </c:pt>
                <c:pt idx="3">
                  <c:v>59199.409451998392</c:v>
                </c:pt>
                <c:pt idx="4">
                  <c:v>12545.583968319814</c:v>
                </c:pt>
                <c:pt idx="5">
                  <c:v>-163136.82227488747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9A52-49EF-8CF6-F9B5C41CCC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8"/>
        <c:overlap val="-100"/>
        <c:axId val="182911744"/>
        <c:axId val="182913664"/>
      </c:barChart>
      <c:catAx>
        <c:axId val="1829117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rgbClr val="0070C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es-ES" sz="1400">
                    <a:solidFill>
                      <a:srgbClr val="0070C0"/>
                    </a:solidFill>
                  </a:rPr>
                  <a:t>Peaje</a:t>
                </a:r>
                <a:r>
                  <a:rPr lang="es-ES" sz="1400" baseline="0">
                    <a:solidFill>
                      <a:srgbClr val="0070C0"/>
                    </a:solidFill>
                  </a:rPr>
                  <a:t> Grupo 2</a:t>
                </a:r>
                <a:endParaRPr lang="es-ES" sz="1400">
                  <a:solidFill>
                    <a:srgbClr val="0070C0"/>
                  </a:solidFill>
                </a:endParaRPr>
              </a:p>
            </c:rich>
          </c:tx>
          <c:layout>
            <c:manualLayout>
              <c:xMode val="edge"/>
              <c:yMode val="edge"/>
              <c:x val="0.41323071062868388"/>
              <c:y val="0.9166665249748779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cross"/>
        <c:minorTickMark val="none"/>
        <c:tickLblPos val="low"/>
        <c:spPr>
          <a:noFill/>
          <a:ln w="15875" cap="flat" cmpd="sng" algn="ctr">
            <a:solidFill>
              <a:srgbClr val="002060"/>
            </a:solidFill>
            <a:round/>
          </a:ln>
          <a:effectLst/>
        </c:spPr>
        <c:txPr>
          <a:bodyPr rot="-4140000" spcFirstLastPara="1" vertOverflow="ellipsis" wrap="square" anchor="ctr" anchorCtr="1"/>
          <a:lstStyle/>
          <a:p>
            <a:pPr>
              <a:defRPr sz="1400" b="0" i="0" u="none" strike="noStrike" kern="1200" baseline="0">
                <a:solidFill>
                  <a:srgbClr val="0070C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s-ES"/>
          </a:p>
        </c:txPr>
        <c:crossAx val="182913664"/>
        <c:crossesAt val="0"/>
        <c:auto val="1"/>
        <c:lblAlgn val="ctr"/>
        <c:lblOffset val="100"/>
        <c:noMultiLvlLbl val="0"/>
      </c:catAx>
      <c:valAx>
        <c:axId val="1829136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lgDash"/>
              <a:round/>
            </a:ln>
            <a:effectLst/>
          </c:spPr>
        </c:majorGridlines>
        <c:numFmt formatCode="#,##0\ &quot;€&quot;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75000"/>
                    <a:lumOff val="2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s-ES"/>
          </a:p>
        </c:txPr>
        <c:crossAx val="1829117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Arial Narrow" panose="020B060602020203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75000"/>
                    <a:lumOff val="25000"/>
                  </a:schemeClr>
                </a:solidFill>
                <a:latin typeface="Arial Rounded MT Bold" panose="020F0704030504030204" pitchFamily="34" charset="0"/>
                <a:ea typeface="+mn-ea"/>
                <a:cs typeface="+mn-cs"/>
              </a:defRPr>
            </a:pPr>
            <a:r>
              <a:rPr lang="el-GR">
                <a:solidFill>
                  <a:schemeClr val="tx1">
                    <a:lumMod val="75000"/>
                    <a:lumOff val="25000"/>
                  </a:schemeClr>
                </a:solidFill>
              </a:rPr>
              <a:t>Δ</a:t>
            </a:r>
            <a:r>
              <a:rPr lang="en-US">
                <a:solidFill>
                  <a:schemeClr val="tx1">
                    <a:lumMod val="75000"/>
                    <a:lumOff val="25000"/>
                  </a:schemeClr>
                </a:solidFill>
                <a:latin typeface="Arial Rounded MT Bold" panose="020F0704030504030204" pitchFamily="34" charset="0"/>
              </a:rPr>
              <a:t> €</a:t>
            </a:r>
            <a:r>
              <a:rPr lang="en-US" baseline="0">
                <a:solidFill>
                  <a:schemeClr val="tx1">
                    <a:lumMod val="75000"/>
                    <a:lumOff val="25000"/>
                  </a:schemeClr>
                </a:solidFill>
                <a:latin typeface="Arial Rounded MT Bold" panose="020F0704030504030204" pitchFamily="34" charset="0"/>
              </a:rPr>
              <a:t> Peajes ATR</a:t>
            </a:r>
            <a:r>
              <a:rPr lang="en-US">
                <a:solidFill>
                  <a:schemeClr val="tx1">
                    <a:lumMod val="75000"/>
                    <a:lumOff val="25000"/>
                  </a:schemeClr>
                </a:solidFill>
                <a:latin typeface="Arial Rounded MT Bold" panose="020F0704030504030204" pitchFamily="34" charset="0"/>
              </a:rPr>
              <a:t> Grupo  2 Promedio</a:t>
            </a:r>
          </a:p>
        </c:rich>
      </c:tx>
      <c:layout>
        <c:manualLayout>
          <c:xMode val="edge"/>
          <c:yMode val="edge"/>
          <c:x val="0.36543273490237654"/>
          <c:y val="2.8362590629238328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'Grupo 2 Promedio'!$AZ$9</c:f>
              <c:strCache>
                <c:ptCount val="1"/>
                <c:pt idx="0">
                  <c:v>D €/año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bg1"/>
              </a:solidFill>
              <a:ln w="9525">
                <a:solidFill>
                  <a:srgbClr val="C00000"/>
                </a:solidFill>
              </a:ln>
              <a:effectLst/>
            </c:spPr>
          </c:marker>
          <c:dLbls>
            <c:dLbl>
              <c:idx val="2"/>
              <c:layout>
                <c:manualLayout>
                  <c:x val="-1.1498069658811946E-2"/>
                  <c:y val="-4.857291378493798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F45-40F5-8131-89FC9C543951}"/>
                </c:ext>
              </c:extLst>
            </c:dLbl>
            <c:dLbl>
              <c:idx val="4"/>
              <c:layout>
                <c:manualLayout>
                  <c:x val="-2.3430312840489881E-2"/>
                  <c:y val="-4.7993694857800757E-2"/>
                </c:manualLayout>
              </c:layout>
              <c:spPr/>
              <c:txPr>
                <a:bodyPr/>
                <a:lstStyle/>
                <a:p>
                  <a:pPr>
                    <a:defRPr sz="1400">
                      <a:solidFill>
                        <a:srgbClr val="C00000"/>
                      </a:solidFill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F45-40F5-8131-89FC9C543951}"/>
                </c:ext>
              </c:extLst>
            </c:dLbl>
            <c:dLbl>
              <c:idx val="5"/>
              <c:layout>
                <c:manualLayout>
                  <c:x val="-3.6191722986700765E-2"/>
                  <c:y val="4.6218654316074144E-2"/>
                </c:manualLayout>
              </c:layout>
              <c:spPr/>
              <c:txPr>
                <a:bodyPr/>
                <a:lstStyle/>
                <a:p>
                  <a:pPr>
                    <a:defRPr sz="1400">
                      <a:solidFill>
                        <a:srgbClr val="00B050"/>
                      </a:solidFill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F45-40F5-8131-89FC9C54395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>
                    <a:solidFill>
                      <a:srgbClr val="C00000"/>
                    </a:solidFill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'Grupo 2 Promedio'!$E$10:$E$15</c:f>
              <c:strCache>
                <c:ptCount val="6"/>
                <c:pt idx="0">
                  <c:v>2.1</c:v>
                </c:pt>
                <c:pt idx="1">
                  <c:v>2.2</c:v>
                </c:pt>
                <c:pt idx="2">
                  <c:v>2.3</c:v>
                </c:pt>
                <c:pt idx="3">
                  <c:v>2.4</c:v>
                </c:pt>
                <c:pt idx="4">
                  <c:v>2.5</c:v>
                </c:pt>
                <c:pt idx="5">
                  <c:v>2.6</c:v>
                </c:pt>
              </c:strCache>
            </c:strRef>
          </c:cat>
          <c:val>
            <c:numRef>
              <c:f>'Grupo 2 Promedio'!$BA$10:$BA$15</c:f>
              <c:numCache>
                <c:formatCode>0%</c:formatCode>
                <c:ptCount val="6"/>
                <c:pt idx="0">
                  <c:v>0.77857543950950525</c:v>
                </c:pt>
                <c:pt idx="1">
                  <c:v>2.1939002528697453</c:v>
                </c:pt>
                <c:pt idx="2">
                  <c:v>0.70978057363293556</c:v>
                </c:pt>
                <c:pt idx="3">
                  <c:v>0.30107056451329239</c:v>
                </c:pt>
                <c:pt idx="4">
                  <c:v>1.6232578643841058E-2</c:v>
                </c:pt>
                <c:pt idx="5">
                  <c:v>-4.0788193784605124E-2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2B80-4318-BDDE-BAA19CAF7B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2949760"/>
        <c:axId val="182968320"/>
      </c:lineChart>
      <c:catAx>
        <c:axId val="1829497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rgbClr val="0070C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es-ES" sz="1400">
                    <a:solidFill>
                      <a:srgbClr val="0070C0"/>
                    </a:solidFill>
                  </a:rPr>
                  <a:t>Peaje Grupo 2</a:t>
                </a:r>
              </a:p>
            </c:rich>
          </c:tx>
          <c:layout>
            <c:manualLayout>
              <c:xMode val="edge"/>
              <c:yMode val="edge"/>
              <c:x val="0.37347047657285237"/>
              <c:y val="0.91506752544889958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cross"/>
        <c:minorTickMark val="none"/>
        <c:tickLblPos val="low"/>
        <c:spPr>
          <a:noFill/>
          <a:ln w="12700" cap="flat" cmpd="sng" algn="ctr">
            <a:solidFill>
              <a:srgbClr val="002060"/>
            </a:solidFill>
            <a:round/>
          </a:ln>
          <a:effectLst/>
        </c:spPr>
        <c:txPr>
          <a:bodyPr rot="-4020000" spcFirstLastPara="1" vertOverflow="ellipsis" wrap="square" anchor="ctr" anchorCtr="1"/>
          <a:lstStyle/>
          <a:p>
            <a:pPr>
              <a:defRPr sz="1400" b="0" i="0" u="none" strike="noStrike" kern="1200" baseline="0">
                <a:solidFill>
                  <a:srgbClr val="0070C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s-ES"/>
          </a:p>
        </c:txPr>
        <c:crossAx val="182968320"/>
        <c:crossesAt val="0"/>
        <c:auto val="1"/>
        <c:lblAlgn val="ctr"/>
        <c:lblOffset val="100"/>
        <c:noMultiLvlLbl val="0"/>
      </c:catAx>
      <c:valAx>
        <c:axId val="1829683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lgDash"/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75000"/>
                    <a:lumOff val="2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s-ES"/>
          </a:p>
        </c:txPr>
        <c:crossAx val="1829497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Arial Narrow" panose="020B060602020203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75000"/>
                    <a:lumOff val="25000"/>
                  </a:schemeClr>
                </a:solidFill>
                <a:latin typeface="Arial Rounded MT Bold" panose="020F0704030504030204" pitchFamily="34" charset="0"/>
                <a:ea typeface="+mn-ea"/>
                <a:cs typeface="+mn-cs"/>
              </a:defRPr>
            </a:pPr>
            <a:r>
              <a:rPr lang="en-US">
                <a:solidFill>
                  <a:schemeClr val="tx1">
                    <a:lumMod val="75000"/>
                    <a:lumOff val="25000"/>
                  </a:schemeClr>
                </a:solidFill>
                <a:latin typeface="Arial Rounded MT Bold" panose="020F0704030504030204" pitchFamily="34" charset="0"/>
              </a:rPr>
              <a:t>€/MWh</a:t>
            </a:r>
            <a:r>
              <a:rPr lang="en-US" baseline="0">
                <a:solidFill>
                  <a:schemeClr val="tx1">
                    <a:lumMod val="75000"/>
                    <a:lumOff val="25000"/>
                  </a:schemeClr>
                </a:solidFill>
                <a:latin typeface="Arial Rounded MT Bold" panose="020F0704030504030204" pitchFamily="34" charset="0"/>
              </a:rPr>
              <a:t> Peajes ATR</a:t>
            </a:r>
            <a:r>
              <a:rPr lang="en-US">
                <a:solidFill>
                  <a:schemeClr val="tx1">
                    <a:lumMod val="75000"/>
                    <a:lumOff val="25000"/>
                  </a:schemeClr>
                </a:solidFill>
                <a:latin typeface="Arial Rounded MT Bold" panose="020F0704030504030204" pitchFamily="34" charset="0"/>
              </a:rPr>
              <a:t> Grupo 2 Promedio</a:t>
            </a:r>
          </a:p>
        </c:rich>
      </c:tx>
      <c:layout>
        <c:manualLayout>
          <c:xMode val="edge"/>
          <c:yMode val="edge"/>
          <c:x val="0.31814879958166442"/>
          <c:y val="1.8541717113074833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ATR Actual</c:v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bg1"/>
              </a:solidFill>
              <a:ln w="9525">
                <a:solidFill>
                  <a:srgbClr val="0070C0"/>
                </a:solidFill>
              </a:ln>
              <a:effectLst/>
            </c:spPr>
          </c:marker>
          <c:dLbls>
            <c:dLbl>
              <c:idx val="5"/>
              <c:layout>
                <c:manualLayout>
                  <c:x val="-3.5748003519648033E-2"/>
                  <c:y val="-7.45268735806206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rgbClr val="0070C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es-E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'Grupo 2 Promedio'!$E$10:$E$15</c:f>
              <c:strCache>
                <c:ptCount val="6"/>
                <c:pt idx="0">
                  <c:v>2.1</c:v>
                </c:pt>
                <c:pt idx="1">
                  <c:v>2.2</c:v>
                </c:pt>
                <c:pt idx="2">
                  <c:v>2.3</c:v>
                </c:pt>
                <c:pt idx="3">
                  <c:v>2.4</c:v>
                </c:pt>
                <c:pt idx="4">
                  <c:v>2.5</c:v>
                </c:pt>
                <c:pt idx="5">
                  <c:v>2.6</c:v>
                </c:pt>
              </c:strCache>
            </c:strRef>
          </c:cat>
          <c:val>
            <c:numRef>
              <c:f>'Grupo 2 Promedio'!$S$10:$S$15</c:f>
              <c:numCache>
                <c:formatCode>0.00</c:formatCode>
                <c:ptCount val="6"/>
                <c:pt idx="0">
                  <c:v>13.015930701047543</c:v>
                </c:pt>
                <c:pt idx="1">
                  <c:v>5.4937010475423049</c:v>
                </c:pt>
                <c:pt idx="2">
                  <c:v>4.2825568090249799</c:v>
                </c:pt>
                <c:pt idx="3">
                  <c:v>4.0090870265914589</c:v>
                </c:pt>
                <c:pt idx="4">
                  <c:v>3.7425584206285261</c:v>
                </c:pt>
                <c:pt idx="5">
                  <c:v>3.4940145044319095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ADB-48BB-AF09-E56760A52992}"/>
            </c:ext>
          </c:extLst>
        </c:ser>
        <c:ser>
          <c:idx val="1"/>
          <c:order val="1"/>
          <c:tx>
            <c:v>ATR Circular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bg1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dLbl>
              <c:idx val="5"/>
              <c:layout>
                <c:manualLayout>
                  <c:x val="-8.4687105625322421E-3"/>
                  <c:y val="2.910673732021182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accent2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'Grupo 2 Promedio'!$E$10:$E$15</c:f>
              <c:strCache>
                <c:ptCount val="6"/>
                <c:pt idx="0">
                  <c:v>2.1</c:v>
                </c:pt>
                <c:pt idx="1">
                  <c:v>2.2</c:v>
                </c:pt>
                <c:pt idx="2">
                  <c:v>2.3</c:v>
                </c:pt>
                <c:pt idx="3">
                  <c:v>2.4</c:v>
                </c:pt>
                <c:pt idx="4">
                  <c:v>2.5</c:v>
                </c:pt>
                <c:pt idx="5">
                  <c:v>2.6</c:v>
                </c:pt>
              </c:strCache>
            </c:strRef>
          </c:cat>
          <c:val>
            <c:numRef>
              <c:f>'Grupo 2 Promedio'!$AU$10:$AU$15</c:f>
              <c:numCache>
                <c:formatCode>0.00</c:formatCode>
                <c:ptCount val="6"/>
                <c:pt idx="0">
                  <c:v>23.149814667240896</c:v>
                </c:pt>
                <c:pt idx="1">
                  <c:v>17.546333164936151</c:v>
                </c:pt>
                <c:pt idx="2">
                  <c:v>7.3222324375503636</c:v>
                </c:pt>
                <c:pt idx="3">
                  <c:v>5.2161051208702665</c:v>
                </c:pt>
                <c:pt idx="4">
                  <c:v>3.8033097945205481</c:v>
                </c:pt>
                <c:pt idx="5">
                  <c:v>3.3514999637389198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ADB-48BB-AF09-E56760A529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030528"/>
        <c:axId val="183032448"/>
      </c:lineChart>
      <c:catAx>
        <c:axId val="1830305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rgbClr val="0070C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es-ES" sz="1400">
                    <a:solidFill>
                      <a:srgbClr val="0070C0"/>
                    </a:solidFill>
                  </a:rPr>
                  <a:t>Peaje Grupo 2</a:t>
                </a:r>
              </a:p>
            </c:rich>
          </c:tx>
          <c:layout>
            <c:manualLayout>
              <c:xMode val="edge"/>
              <c:yMode val="edge"/>
              <c:x val="0.44897047659986333"/>
              <c:y val="0.90283631425867161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cross"/>
        <c:minorTickMark val="none"/>
        <c:tickLblPos val="low"/>
        <c:spPr>
          <a:noFill/>
          <a:ln w="12700" cap="flat" cmpd="sng" algn="ctr">
            <a:solidFill>
              <a:srgbClr val="002060"/>
            </a:solidFill>
            <a:round/>
          </a:ln>
          <a:effectLst/>
        </c:spPr>
        <c:txPr>
          <a:bodyPr rot="-4020000" spcFirstLastPara="1" vertOverflow="ellipsis" wrap="square" anchor="ctr" anchorCtr="1"/>
          <a:lstStyle/>
          <a:p>
            <a:pPr>
              <a:defRPr sz="1400" b="0" i="0" u="none" strike="noStrike" kern="1200" baseline="0">
                <a:solidFill>
                  <a:srgbClr val="0070C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s-ES"/>
          </a:p>
        </c:txPr>
        <c:crossAx val="183032448"/>
        <c:crossesAt val="0"/>
        <c:auto val="1"/>
        <c:lblAlgn val="ctr"/>
        <c:lblOffset val="100"/>
        <c:noMultiLvlLbl val="0"/>
      </c:catAx>
      <c:valAx>
        <c:axId val="1830324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lgDash"/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s-ES"/>
          </a:p>
        </c:txPr>
        <c:crossAx val="1830305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Arial Narrow" panose="020B060602020203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75000"/>
                    <a:lumOff val="25000"/>
                  </a:schemeClr>
                </a:solidFill>
                <a:latin typeface="Arial Rounded MT Bold" panose="020F0704030504030204" pitchFamily="34" charset="0"/>
                <a:ea typeface="+mn-ea"/>
                <a:cs typeface="+mn-cs"/>
              </a:defRPr>
            </a:pPr>
            <a:r>
              <a:rPr lang="el-GR" sz="1400">
                <a:solidFill>
                  <a:schemeClr val="tx1">
                    <a:lumMod val="75000"/>
                    <a:lumOff val="25000"/>
                  </a:schemeClr>
                </a:solidFill>
              </a:rPr>
              <a:t>Δ</a:t>
            </a:r>
            <a:r>
              <a:rPr lang="en-US" sz="1400">
                <a:solidFill>
                  <a:schemeClr val="tx1">
                    <a:lumMod val="75000"/>
                    <a:lumOff val="25000"/>
                  </a:schemeClr>
                </a:solidFill>
                <a:latin typeface="Arial Rounded MT Bold" panose="020F0704030504030204" pitchFamily="34" charset="0"/>
              </a:rPr>
              <a:t> €/MWh ATR Grupo 2 Promedio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008242308848582"/>
          <c:y val="0.11194080424745022"/>
          <c:w val="0.87929025954504458"/>
          <c:h val="0.6798618966571344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'Grupo 2 Promedio'!$BB$9</c:f>
              <c:strCache>
                <c:ptCount val="1"/>
                <c:pt idx="0">
                  <c:v>D €/MWh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2C72-4E2D-A605-5AA5EC5691AE}"/>
              </c:ext>
            </c:extLst>
          </c:dPt>
          <c:dPt>
            <c:idx val="1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2C72-4E2D-A605-5AA5EC5691AE}"/>
              </c:ext>
            </c:extLst>
          </c:dPt>
          <c:dPt>
            <c:idx val="2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2C72-4E2D-A605-5AA5EC5691AE}"/>
              </c:ext>
            </c:extLst>
          </c:dPt>
          <c:dPt>
            <c:idx val="3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2C72-4E2D-A605-5AA5EC5691AE}"/>
              </c:ext>
            </c:extLst>
          </c:dPt>
          <c:dPt>
            <c:idx val="4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2C72-4E2D-A605-5AA5EC5691AE}"/>
              </c:ext>
            </c:extLst>
          </c:dPt>
          <c:dPt>
            <c:idx val="5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2C72-4E2D-A605-5AA5EC5691AE}"/>
              </c:ext>
            </c:extLst>
          </c:dPt>
          <c:dPt>
            <c:idx val="20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2C72-4E2D-A605-5AA5EC5691AE}"/>
              </c:ext>
            </c:extLst>
          </c:dPt>
          <c:dPt>
            <c:idx val="21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2C72-4E2D-A605-5AA5EC5691AE}"/>
              </c:ext>
            </c:extLst>
          </c:dPt>
          <c:dPt>
            <c:idx val="22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2C72-4E2D-A605-5AA5EC5691AE}"/>
              </c:ext>
            </c:extLst>
          </c:dPt>
          <c:dPt>
            <c:idx val="23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2C72-4E2D-A605-5AA5EC5691AE}"/>
              </c:ext>
            </c:extLst>
          </c:dPt>
          <c:dPt>
            <c:idx val="24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2C72-4E2D-A605-5AA5EC5691AE}"/>
              </c:ext>
            </c:extLst>
          </c:dPt>
          <c:dPt>
            <c:idx val="25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7-2C72-4E2D-A605-5AA5EC5691AE}"/>
              </c:ext>
            </c:extLst>
          </c:dPt>
          <c:dPt>
            <c:idx val="26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9-2C72-4E2D-A605-5AA5EC5691AE}"/>
              </c:ext>
            </c:extLst>
          </c:dPt>
          <c:dPt>
            <c:idx val="27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B-2C72-4E2D-A605-5AA5EC5691AE}"/>
              </c:ext>
            </c:extLst>
          </c:dPt>
          <c:dPt>
            <c:idx val="28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D-2C72-4E2D-A605-5AA5EC5691AE}"/>
              </c:ext>
            </c:extLst>
          </c:dPt>
          <c:dPt>
            <c:idx val="29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F-2C72-4E2D-A605-5AA5EC5691AE}"/>
              </c:ext>
            </c:extLst>
          </c:dPt>
          <c:dPt>
            <c:idx val="30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1-2C72-4E2D-A605-5AA5EC5691AE}"/>
              </c:ext>
            </c:extLst>
          </c:dPt>
          <c:dPt>
            <c:idx val="31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3-2C72-4E2D-A605-5AA5EC5691AE}"/>
              </c:ext>
            </c:extLst>
          </c:dPt>
          <c:dLbls>
            <c:dLbl>
              <c:idx val="4"/>
              <c:numFmt formatCode="#,##0.00" sourceLinked="0"/>
              <c:spPr/>
              <c:txPr>
                <a:bodyPr/>
                <a:lstStyle/>
                <a:p>
                  <a:pPr>
                    <a:defRPr sz="1400">
                      <a:solidFill>
                        <a:srgbClr val="C00000"/>
                      </a:solidFill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numFmt formatCode="#,##0.00" sourceLinked="0"/>
              <c:spPr/>
              <c:txPr>
                <a:bodyPr/>
                <a:lstStyle/>
                <a:p>
                  <a:pPr>
                    <a:defRPr sz="1400">
                      <a:solidFill>
                        <a:srgbClr val="00B050"/>
                      </a:solidFill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>
                    <a:solidFill>
                      <a:srgbClr val="C00000"/>
                    </a:solidFill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'Grupo 2 Promedio'!$E$10:$E$15</c:f>
              <c:strCache>
                <c:ptCount val="6"/>
                <c:pt idx="0">
                  <c:v>2.1</c:v>
                </c:pt>
                <c:pt idx="1">
                  <c:v>2.2</c:v>
                </c:pt>
                <c:pt idx="2">
                  <c:v>2.3</c:v>
                </c:pt>
                <c:pt idx="3">
                  <c:v>2.4</c:v>
                </c:pt>
                <c:pt idx="4">
                  <c:v>2.5</c:v>
                </c:pt>
                <c:pt idx="5">
                  <c:v>2.6</c:v>
                </c:pt>
              </c:strCache>
            </c:strRef>
          </c:cat>
          <c:val>
            <c:numRef>
              <c:f>'Grupo 2 Promedio'!$BB$10:$BB$15</c:f>
              <c:numCache>
                <c:formatCode>#,##0.00</c:formatCode>
                <c:ptCount val="6"/>
                <c:pt idx="0">
                  <c:v>10.133883966193354</c:v>
                </c:pt>
                <c:pt idx="1">
                  <c:v>12.052632117393845</c:v>
                </c:pt>
                <c:pt idx="2">
                  <c:v>3.0396756285253836</c:v>
                </c:pt>
                <c:pt idx="3">
                  <c:v>1.2070180942788076</c:v>
                </c:pt>
                <c:pt idx="4">
                  <c:v>6.0751373892022009E-2</c:v>
                </c:pt>
                <c:pt idx="5">
                  <c:v>-0.14251454069298974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4-2C72-4E2D-A605-5AA5EC5691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8"/>
        <c:overlap val="-100"/>
        <c:axId val="183159424"/>
        <c:axId val="183177984"/>
      </c:barChart>
      <c:catAx>
        <c:axId val="1831594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rgbClr val="0070C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es-ES" sz="1400">
                    <a:solidFill>
                      <a:srgbClr val="0070C0"/>
                    </a:solidFill>
                  </a:rPr>
                  <a:t>Peaje</a:t>
                </a:r>
                <a:r>
                  <a:rPr lang="es-ES" sz="1400" baseline="0">
                    <a:solidFill>
                      <a:srgbClr val="0070C0"/>
                    </a:solidFill>
                  </a:rPr>
                  <a:t> Grupo 2</a:t>
                </a:r>
                <a:endParaRPr lang="es-ES" sz="1400">
                  <a:solidFill>
                    <a:srgbClr val="0070C0"/>
                  </a:solidFill>
                </a:endParaRPr>
              </a:p>
            </c:rich>
          </c:tx>
          <c:layout>
            <c:manualLayout>
              <c:xMode val="edge"/>
              <c:yMode val="edge"/>
              <c:x val="0.41323071062868388"/>
              <c:y val="0.9166665249748779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cross"/>
        <c:minorTickMark val="none"/>
        <c:tickLblPos val="low"/>
        <c:spPr>
          <a:noFill/>
          <a:ln w="15875" cap="flat" cmpd="sng" algn="ctr">
            <a:solidFill>
              <a:srgbClr val="002060"/>
            </a:solidFill>
            <a:round/>
          </a:ln>
          <a:effectLst/>
        </c:spPr>
        <c:txPr>
          <a:bodyPr rot="-4140000" spcFirstLastPara="1" vertOverflow="ellipsis" wrap="square" anchor="ctr" anchorCtr="1"/>
          <a:lstStyle/>
          <a:p>
            <a:pPr>
              <a:defRPr sz="1400" b="0" i="0" u="none" strike="noStrike" kern="1200" baseline="0">
                <a:solidFill>
                  <a:srgbClr val="0070C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s-ES"/>
          </a:p>
        </c:txPr>
        <c:crossAx val="183177984"/>
        <c:crossesAt val="0"/>
        <c:auto val="1"/>
        <c:lblAlgn val="ctr"/>
        <c:lblOffset val="100"/>
        <c:noMultiLvlLbl val="0"/>
      </c:catAx>
      <c:valAx>
        <c:axId val="183177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lgDash"/>
              <a:round/>
            </a:ln>
            <a:effectLst/>
          </c:spPr>
        </c:majorGridlines>
        <c:numFmt formatCode="#,##0\ &quot;€&quot;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75000"/>
                    <a:lumOff val="2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s-ES"/>
          </a:p>
        </c:txPr>
        <c:crossAx val="1831594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Arial Narrow" panose="020B060602020203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75000"/>
                    <a:lumOff val="25000"/>
                  </a:schemeClr>
                </a:solidFill>
                <a:latin typeface="Arial Rounded MT Bold" panose="020F0704030504030204" pitchFamily="34" charset="0"/>
                <a:ea typeface="+mn-ea"/>
                <a:cs typeface="+mn-cs"/>
              </a:defRPr>
            </a:pPr>
            <a:r>
              <a:rPr lang="el-GR" sz="1400">
                <a:solidFill>
                  <a:schemeClr val="tx1">
                    <a:lumMod val="75000"/>
                    <a:lumOff val="25000"/>
                  </a:schemeClr>
                </a:solidFill>
              </a:rPr>
              <a:t>Δ</a:t>
            </a:r>
            <a:r>
              <a:rPr lang="en-US" sz="1400">
                <a:solidFill>
                  <a:schemeClr val="tx1">
                    <a:lumMod val="75000"/>
                    <a:lumOff val="25000"/>
                  </a:schemeClr>
                </a:solidFill>
                <a:latin typeface="Arial Rounded MT Bold" panose="020F0704030504030204" pitchFamily="34" charset="0"/>
              </a:rPr>
              <a:t> €/año ATR Peaje 3.5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'Peaje 3.5'!$AZ$9</c:f>
              <c:strCache>
                <c:ptCount val="1"/>
                <c:pt idx="0">
                  <c:v>D €/año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0-5B3B-4080-8C40-DA7067E12B0F}"/>
              </c:ext>
            </c:extLst>
          </c:dPt>
          <c:dPt>
            <c:idx val="1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B3B-4080-8C40-DA7067E12B0F}"/>
              </c:ext>
            </c:extLst>
          </c:dPt>
          <c:dPt>
            <c:idx val="2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5B3B-4080-8C40-DA7067E12B0F}"/>
              </c:ext>
            </c:extLst>
          </c:dPt>
          <c:dPt>
            <c:idx val="3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5B3B-4080-8C40-DA7067E12B0F}"/>
              </c:ext>
            </c:extLst>
          </c:dPt>
          <c:dPt>
            <c:idx val="4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5B3B-4080-8C40-DA7067E12B0F}"/>
              </c:ext>
            </c:extLst>
          </c:dPt>
          <c:dPt>
            <c:idx val="5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5B3B-4080-8C40-DA7067E12B0F}"/>
              </c:ext>
            </c:extLst>
          </c:dPt>
          <c:dPt>
            <c:idx val="6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5B3B-4080-8C40-DA7067E12B0F}"/>
              </c:ext>
            </c:extLst>
          </c:dPt>
          <c:dLbls>
            <c:dLbl>
              <c:idx val="7"/>
              <c:numFmt formatCode="#,##0\ &quot;€&quot;" sourceLinked="0"/>
              <c:spPr/>
              <c:txPr>
                <a:bodyPr/>
                <a:lstStyle/>
                <a:p>
                  <a:pPr>
                    <a:defRPr sz="1100">
                      <a:solidFill>
                        <a:srgbClr val="00B050"/>
                      </a:solidFill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numFmt formatCode="#,##0\ &quot;€&quot;" sourceLinked="0"/>
              <c:spPr/>
              <c:txPr>
                <a:bodyPr/>
                <a:lstStyle/>
                <a:p>
                  <a:pPr>
                    <a:defRPr sz="1100">
                      <a:solidFill>
                        <a:srgbClr val="00B050"/>
                      </a:solidFill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numFmt formatCode="#,##0\ &quot;€&quot;" sourceLinked="0"/>
              <c:spPr/>
              <c:txPr>
                <a:bodyPr/>
                <a:lstStyle/>
                <a:p>
                  <a:pPr>
                    <a:defRPr sz="1100">
                      <a:solidFill>
                        <a:srgbClr val="00B050"/>
                      </a:solidFill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numFmt formatCode="#,##0\ &quot;€&quot;" sourceLinked="0"/>
              <c:spPr/>
              <c:txPr>
                <a:bodyPr/>
                <a:lstStyle/>
                <a:p>
                  <a:pPr>
                    <a:defRPr sz="1100">
                      <a:solidFill>
                        <a:srgbClr val="00B050"/>
                      </a:solidFill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numFmt formatCode="#,##0\ &quot;€&quot;" sourceLinked="0"/>
              <c:spPr/>
              <c:txPr>
                <a:bodyPr/>
                <a:lstStyle/>
                <a:p>
                  <a:pPr>
                    <a:defRPr sz="1100">
                      <a:solidFill>
                        <a:srgbClr val="00B050"/>
                      </a:solidFill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2"/>
              <c:numFmt formatCode="#,##0\ &quot;€&quot;" sourceLinked="0"/>
              <c:spPr/>
              <c:txPr>
                <a:bodyPr/>
                <a:lstStyle/>
                <a:p>
                  <a:pPr>
                    <a:defRPr sz="1100">
                      <a:solidFill>
                        <a:srgbClr val="00B050"/>
                      </a:solidFill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\ &quot;€&quot;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solidFill>
                      <a:srgbClr val="C00000"/>
                    </a:solidFill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'Peaje 3.5'!$B$10:$B$22</c:f>
              <c:numCache>
                <c:formatCode>#,##0</c:formatCode>
                <c:ptCount val="13"/>
                <c:pt idx="0">
                  <c:v>8250</c:v>
                </c:pt>
                <c:pt idx="1">
                  <c:v>8500</c:v>
                </c:pt>
                <c:pt idx="2">
                  <c:v>9000</c:v>
                </c:pt>
                <c:pt idx="3">
                  <c:v>9500</c:v>
                </c:pt>
                <c:pt idx="4">
                  <c:v>10000</c:v>
                </c:pt>
                <c:pt idx="5">
                  <c:v>12500</c:v>
                </c:pt>
                <c:pt idx="6">
                  <c:v>15000</c:v>
                </c:pt>
                <c:pt idx="7">
                  <c:v>17500</c:v>
                </c:pt>
                <c:pt idx="8">
                  <c:v>20000</c:v>
                </c:pt>
                <c:pt idx="9">
                  <c:v>22500</c:v>
                </c:pt>
                <c:pt idx="10">
                  <c:v>25000</c:v>
                </c:pt>
                <c:pt idx="11">
                  <c:v>27500</c:v>
                </c:pt>
                <c:pt idx="12">
                  <c:v>30000</c:v>
                </c:pt>
              </c:numCache>
            </c:numRef>
          </c:cat>
          <c:val>
            <c:numRef>
              <c:f>'Peaje 3.5'!$AZ$10:$AZ$22</c:f>
              <c:numCache>
                <c:formatCode>#,##0.00\ "€"</c:formatCode>
                <c:ptCount val="13"/>
                <c:pt idx="0">
                  <c:v>14240.12792405318</c:v>
                </c:pt>
                <c:pt idx="1">
                  <c:v>14671.646952054798</c:v>
                </c:pt>
                <c:pt idx="2">
                  <c:v>15534.685008058012</c:v>
                </c:pt>
                <c:pt idx="3">
                  <c:v>16397.723064061247</c:v>
                </c:pt>
                <c:pt idx="4">
                  <c:v>17260.761120064461</c:v>
                </c:pt>
                <c:pt idx="5">
                  <c:v>21575.951400080594</c:v>
                </c:pt>
                <c:pt idx="6">
                  <c:v>25891.141680096713</c:v>
                </c:pt>
                <c:pt idx="7">
                  <c:v>-6650.8960817888728</c:v>
                </c:pt>
                <c:pt idx="8">
                  <c:v>-7601.02409347301</c:v>
                </c:pt>
                <c:pt idx="9">
                  <c:v>-8551.1521051571472</c:v>
                </c:pt>
                <c:pt idx="10">
                  <c:v>-9501.2801168412407</c:v>
                </c:pt>
                <c:pt idx="11">
                  <c:v>-10451.408128525392</c:v>
                </c:pt>
                <c:pt idx="12">
                  <c:v>-11401.53614020953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CC1-45F2-BF34-F898F36075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8"/>
        <c:overlap val="-100"/>
        <c:axId val="183392128"/>
        <c:axId val="183410688"/>
      </c:barChart>
      <c:catAx>
        <c:axId val="1833921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rgbClr val="0070C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es-ES" sz="1400">
                    <a:solidFill>
                      <a:srgbClr val="0070C0"/>
                    </a:solidFill>
                  </a:rPr>
                  <a:t>Consumo</a:t>
                </a:r>
                <a:r>
                  <a:rPr lang="es-ES" sz="1400" baseline="0">
                    <a:solidFill>
                      <a:srgbClr val="0070C0"/>
                    </a:solidFill>
                  </a:rPr>
                  <a:t> MWh/año</a:t>
                </a:r>
                <a:endParaRPr lang="es-ES" sz="1400">
                  <a:solidFill>
                    <a:srgbClr val="0070C0"/>
                  </a:solidFill>
                </a:endParaRPr>
              </a:p>
            </c:rich>
          </c:tx>
          <c:layout>
            <c:manualLayout>
              <c:xMode val="edge"/>
              <c:yMode val="edge"/>
              <c:x val="0.43311625440759305"/>
              <c:y val="0.91666652068936316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" sourceLinked="1"/>
        <c:majorTickMark val="cross"/>
        <c:minorTickMark val="none"/>
        <c:tickLblPos val="low"/>
        <c:spPr>
          <a:noFill/>
          <a:ln w="15875" cap="flat" cmpd="sng" algn="ctr">
            <a:solidFill>
              <a:srgbClr val="002060"/>
            </a:solidFill>
            <a:round/>
          </a:ln>
          <a:effectLst/>
        </c:spPr>
        <c:txPr>
          <a:bodyPr rot="-414000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rgbClr val="0070C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s-ES"/>
          </a:p>
        </c:txPr>
        <c:crossAx val="183410688"/>
        <c:crossesAt val="0"/>
        <c:auto val="1"/>
        <c:lblAlgn val="ctr"/>
        <c:lblOffset val="100"/>
        <c:noMultiLvlLbl val="0"/>
      </c:catAx>
      <c:valAx>
        <c:axId val="1834106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lgDash"/>
              <a:round/>
            </a:ln>
            <a:effectLst/>
          </c:spPr>
        </c:majorGridlines>
        <c:numFmt formatCode="#,##0\ &quot;€&quot;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75000"/>
                    <a:lumOff val="2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s-ES"/>
          </a:p>
        </c:txPr>
        <c:crossAx val="183392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Arial Narrow" panose="020B060602020203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9.xml"/><Relationship Id="rId2" Type="http://schemas.openxmlformats.org/officeDocument/2006/relationships/chart" Target="../charts/chart38.xml"/><Relationship Id="rId1" Type="http://schemas.openxmlformats.org/officeDocument/2006/relationships/chart" Target="../charts/chart37.xml"/><Relationship Id="rId4" Type="http://schemas.openxmlformats.org/officeDocument/2006/relationships/chart" Target="../charts/chart4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chart" Target="../charts/chart8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4" Type="http://schemas.openxmlformats.org/officeDocument/2006/relationships/chart" Target="../charts/chart12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Relationship Id="rId4" Type="http://schemas.openxmlformats.org/officeDocument/2006/relationships/chart" Target="../charts/chart16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9.xml"/><Relationship Id="rId2" Type="http://schemas.openxmlformats.org/officeDocument/2006/relationships/chart" Target="../charts/chart18.xml"/><Relationship Id="rId1" Type="http://schemas.openxmlformats.org/officeDocument/2006/relationships/chart" Target="../charts/chart17.xml"/><Relationship Id="rId4" Type="http://schemas.openxmlformats.org/officeDocument/2006/relationships/chart" Target="../charts/chart20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3.xml"/><Relationship Id="rId2" Type="http://schemas.openxmlformats.org/officeDocument/2006/relationships/chart" Target="../charts/chart22.xml"/><Relationship Id="rId1" Type="http://schemas.openxmlformats.org/officeDocument/2006/relationships/chart" Target="../charts/chart21.xml"/><Relationship Id="rId4" Type="http://schemas.openxmlformats.org/officeDocument/2006/relationships/chart" Target="../charts/chart24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7.xml"/><Relationship Id="rId2" Type="http://schemas.openxmlformats.org/officeDocument/2006/relationships/chart" Target="../charts/chart26.xml"/><Relationship Id="rId1" Type="http://schemas.openxmlformats.org/officeDocument/2006/relationships/chart" Target="../charts/chart25.xml"/><Relationship Id="rId4" Type="http://schemas.openxmlformats.org/officeDocument/2006/relationships/chart" Target="../charts/chart28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1.xml"/><Relationship Id="rId2" Type="http://schemas.openxmlformats.org/officeDocument/2006/relationships/chart" Target="../charts/chart30.xml"/><Relationship Id="rId1" Type="http://schemas.openxmlformats.org/officeDocument/2006/relationships/chart" Target="../charts/chart29.xml"/><Relationship Id="rId4" Type="http://schemas.openxmlformats.org/officeDocument/2006/relationships/chart" Target="../charts/chart32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5.xml"/><Relationship Id="rId2" Type="http://schemas.openxmlformats.org/officeDocument/2006/relationships/chart" Target="../charts/chart34.xml"/><Relationship Id="rId1" Type="http://schemas.openxmlformats.org/officeDocument/2006/relationships/chart" Target="../charts/chart33.xml"/><Relationship Id="rId4" Type="http://schemas.openxmlformats.org/officeDocument/2006/relationships/chart" Target="../charts/chart3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</xdr:colOff>
      <xdr:row>61</xdr:row>
      <xdr:rowOff>200025</xdr:rowOff>
    </xdr:from>
    <xdr:to>
      <xdr:col>25</xdr:col>
      <xdr:colOff>317500</xdr:colOff>
      <xdr:row>81</xdr:row>
      <xdr:rowOff>88900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7620</xdr:colOff>
      <xdr:row>41</xdr:row>
      <xdr:rowOff>167640</xdr:rowOff>
    </xdr:from>
    <xdr:to>
      <xdr:col>25</xdr:col>
      <xdr:colOff>301625</xdr:colOff>
      <xdr:row>61</xdr:row>
      <xdr:rowOff>87630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25</xdr:col>
      <xdr:colOff>476250</xdr:colOff>
      <xdr:row>41</xdr:row>
      <xdr:rowOff>184150</xdr:rowOff>
    </xdr:from>
    <xdr:to>
      <xdr:col>53</xdr:col>
      <xdr:colOff>421428</xdr:colOff>
      <xdr:row>61</xdr:row>
      <xdr:rowOff>75565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xmlns="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460375</xdr:colOff>
      <xdr:row>61</xdr:row>
      <xdr:rowOff>158750</xdr:rowOff>
    </xdr:from>
    <xdr:to>
      <xdr:col>53</xdr:col>
      <xdr:colOff>434975</xdr:colOff>
      <xdr:row>81</xdr:row>
      <xdr:rowOff>104775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xmlns="" id="{00000000-0008-0000-03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</xdr:colOff>
      <xdr:row>38</xdr:row>
      <xdr:rowOff>25400</xdr:rowOff>
    </xdr:from>
    <xdr:to>
      <xdr:col>30</xdr:col>
      <xdr:colOff>809625</xdr:colOff>
      <xdr:row>57</xdr:row>
      <xdr:rowOff>120650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xmlns="" i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134620</xdr:colOff>
      <xdr:row>17</xdr:row>
      <xdr:rowOff>151765</xdr:rowOff>
    </xdr:from>
    <xdr:to>
      <xdr:col>30</xdr:col>
      <xdr:colOff>777875</xdr:colOff>
      <xdr:row>37</xdr:row>
      <xdr:rowOff>71755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xmlns="" id="{00000000-0008-0000-0C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30</xdr:col>
      <xdr:colOff>1031876</xdr:colOff>
      <xdr:row>17</xdr:row>
      <xdr:rowOff>129117</xdr:rowOff>
    </xdr:from>
    <xdr:to>
      <xdr:col>47</xdr:col>
      <xdr:colOff>381000</xdr:colOff>
      <xdr:row>37</xdr:row>
      <xdr:rowOff>49107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xmlns="" id="{00000000-0008-0000-0C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30</xdr:col>
      <xdr:colOff>972821</xdr:colOff>
      <xdr:row>38</xdr:row>
      <xdr:rowOff>4445</xdr:rowOff>
    </xdr:from>
    <xdr:to>
      <xdr:col>47</xdr:col>
      <xdr:colOff>397935</xdr:colOff>
      <xdr:row>57</xdr:row>
      <xdr:rowOff>130810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xmlns="" id="{00000000-0008-0000-0C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361950</xdr:colOff>
      <xdr:row>35</xdr:row>
      <xdr:rowOff>140970</xdr:rowOff>
    </xdr:from>
    <xdr:to>
      <xdr:col>14</xdr:col>
      <xdr:colOff>274320</xdr:colOff>
      <xdr:row>61</xdr:row>
      <xdr:rowOff>7620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xmlns="" id="{00000000-0008-0000-0D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304800</xdr:colOff>
      <xdr:row>51</xdr:row>
      <xdr:rowOff>53340</xdr:rowOff>
    </xdr:from>
    <xdr:to>
      <xdr:col>2</xdr:col>
      <xdr:colOff>304800</xdr:colOff>
      <xdr:row>57</xdr:row>
      <xdr:rowOff>160020</xdr:rowOff>
    </xdr:to>
    <xdr:cxnSp macro="">
      <xdr:nvCxnSpPr>
        <xdr:cNvPr id="8" name="Conector recto 7">
          <a:extLst>
            <a:ext uri="{FF2B5EF4-FFF2-40B4-BE49-F238E27FC236}">
              <a16:creationId xmlns:a16="http://schemas.microsoft.com/office/drawing/2014/main" xmlns="" id="{00000000-0008-0000-0D00-000008000000}"/>
            </a:ext>
          </a:extLst>
        </xdr:cNvPr>
        <xdr:cNvCxnSpPr/>
      </xdr:nvCxnSpPr>
      <xdr:spPr>
        <a:xfrm>
          <a:off x="1188720" y="8991600"/>
          <a:ext cx="0" cy="1158240"/>
        </a:xfrm>
        <a:prstGeom prst="line">
          <a:avLst/>
        </a:prstGeom>
        <a:ln>
          <a:solidFill>
            <a:schemeClr val="bg1">
              <a:lumMod val="65000"/>
            </a:schemeClr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289560</xdr:colOff>
      <xdr:row>51</xdr:row>
      <xdr:rowOff>53340</xdr:rowOff>
    </xdr:from>
    <xdr:to>
      <xdr:col>3</xdr:col>
      <xdr:colOff>289560</xdr:colOff>
      <xdr:row>57</xdr:row>
      <xdr:rowOff>160020</xdr:rowOff>
    </xdr:to>
    <xdr:cxnSp macro="">
      <xdr:nvCxnSpPr>
        <xdr:cNvPr id="9" name="Conector recto 8">
          <a:extLst>
            <a:ext uri="{FF2B5EF4-FFF2-40B4-BE49-F238E27FC236}">
              <a16:creationId xmlns:a16="http://schemas.microsoft.com/office/drawing/2014/main" xmlns="" id="{00000000-0008-0000-0D00-000009000000}"/>
            </a:ext>
          </a:extLst>
        </xdr:cNvPr>
        <xdr:cNvCxnSpPr/>
      </xdr:nvCxnSpPr>
      <xdr:spPr>
        <a:xfrm>
          <a:off x="1684020" y="8991600"/>
          <a:ext cx="0" cy="1158240"/>
        </a:xfrm>
        <a:prstGeom prst="line">
          <a:avLst/>
        </a:prstGeom>
        <a:ln>
          <a:solidFill>
            <a:schemeClr val="bg1">
              <a:lumMod val="65000"/>
            </a:schemeClr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121920</xdr:colOff>
      <xdr:row>51</xdr:row>
      <xdr:rowOff>45720</xdr:rowOff>
    </xdr:from>
    <xdr:to>
      <xdr:col>5</xdr:col>
      <xdr:colOff>121920</xdr:colOff>
      <xdr:row>57</xdr:row>
      <xdr:rowOff>152400</xdr:rowOff>
    </xdr:to>
    <xdr:cxnSp macro="">
      <xdr:nvCxnSpPr>
        <xdr:cNvPr id="10" name="Conector recto 9">
          <a:extLst>
            <a:ext uri="{FF2B5EF4-FFF2-40B4-BE49-F238E27FC236}">
              <a16:creationId xmlns:a16="http://schemas.microsoft.com/office/drawing/2014/main" xmlns="" id="{00000000-0008-0000-0D00-00000A000000}"/>
            </a:ext>
          </a:extLst>
        </xdr:cNvPr>
        <xdr:cNvCxnSpPr/>
      </xdr:nvCxnSpPr>
      <xdr:spPr>
        <a:xfrm>
          <a:off x="2941320" y="8983980"/>
          <a:ext cx="0" cy="1158240"/>
        </a:xfrm>
        <a:prstGeom prst="line">
          <a:avLst/>
        </a:prstGeom>
        <a:ln>
          <a:solidFill>
            <a:schemeClr val="bg1">
              <a:lumMod val="65000"/>
            </a:schemeClr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678180</xdr:colOff>
      <xdr:row>51</xdr:row>
      <xdr:rowOff>30480</xdr:rowOff>
    </xdr:from>
    <xdr:to>
      <xdr:col>7</xdr:col>
      <xdr:colOff>678180</xdr:colOff>
      <xdr:row>57</xdr:row>
      <xdr:rowOff>137160</xdr:rowOff>
    </xdr:to>
    <xdr:cxnSp macro="">
      <xdr:nvCxnSpPr>
        <xdr:cNvPr id="11" name="Conector recto 10">
          <a:extLst>
            <a:ext uri="{FF2B5EF4-FFF2-40B4-BE49-F238E27FC236}">
              <a16:creationId xmlns:a16="http://schemas.microsoft.com/office/drawing/2014/main" xmlns="" id="{00000000-0008-0000-0D00-00000B000000}"/>
            </a:ext>
          </a:extLst>
        </xdr:cNvPr>
        <xdr:cNvCxnSpPr/>
      </xdr:nvCxnSpPr>
      <xdr:spPr>
        <a:xfrm>
          <a:off x="4937760" y="8968740"/>
          <a:ext cx="0" cy="1158240"/>
        </a:xfrm>
        <a:prstGeom prst="line">
          <a:avLst/>
        </a:prstGeom>
        <a:ln>
          <a:solidFill>
            <a:schemeClr val="bg1">
              <a:lumMod val="65000"/>
            </a:schemeClr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762000</xdr:colOff>
      <xdr:row>51</xdr:row>
      <xdr:rowOff>38100</xdr:rowOff>
    </xdr:from>
    <xdr:to>
      <xdr:col>10</xdr:col>
      <xdr:colOff>762000</xdr:colOff>
      <xdr:row>57</xdr:row>
      <xdr:rowOff>144780</xdr:rowOff>
    </xdr:to>
    <xdr:cxnSp macro="">
      <xdr:nvCxnSpPr>
        <xdr:cNvPr id="12" name="Conector recto 11">
          <a:extLst>
            <a:ext uri="{FF2B5EF4-FFF2-40B4-BE49-F238E27FC236}">
              <a16:creationId xmlns:a16="http://schemas.microsoft.com/office/drawing/2014/main" xmlns="" id="{00000000-0008-0000-0D00-00000C000000}"/>
            </a:ext>
          </a:extLst>
        </xdr:cNvPr>
        <xdr:cNvCxnSpPr/>
      </xdr:nvCxnSpPr>
      <xdr:spPr>
        <a:xfrm>
          <a:off x="6438900" y="8976360"/>
          <a:ext cx="0" cy="1158240"/>
        </a:xfrm>
        <a:prstGeom prst="line">
          <a:avLst/>
        </a:prstGeom>
        <a:ln>
          <a:solidFill>
            <a:schemeClr val="bg1">
              <a:lumMod val="65000"/>
            </a:schemeClr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83820</xdr:colOff>
      <xdr:row>51</xdr:row>
      <xdr:rowOff>38100</xdr:rowOff>
    </xdr:from>
    <xdr:to>
      <xdr:col>14</xdr:col>
      <xdr:colOff>83820</xdr:colOff>
      <xdr:row>57</xdr:row>
      <xdr:rowOff>144780</xdr:rowOff>
    </xdr:to>
    <xdr:cxnSp macro="">
      <xdr:nvCxnSpPr>
        <xdr:cNvPr id="13" name="Conector recto 12">
          <a:extLst>
            <a:ext uri="{FF2B5EF4-FFF2-40B4-BE49-F238E27FC236}">
              <a16:creationId xmlns:a16="http://schemas.microsoft.com/office/drawing/2014/main" xmlns="" id="{00000000-0008-0000-0D00-00000D000000}"/>
            </a:ext>
          </a:extLst>
        </xdr:cNvPr>
        <xdr:cNvCxnSpPr/>
      </xdr:nvCxnSpPr>
      <xdr:spPr>
        <a:xfrm>
          <a:off x="8442960" y="8976360"/>
          <a:ext cx="0" cy="1158240"/>
        </a:xfrm>
        <a:prstGeom prst="line">
          <a:avLst/>
        </a:prstGeom>
        <a:ln>
          <a:solidFill>
            <a:schemeClr val="bg1">
              <a:lumMod val="65000"/>
            </a:schemeClr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297180</xdr:colOff>
      <xdr:row>57</xdr:row>
      <xdr:rowOff>144780</xdr:rowOff>
    </xdr:from>
    <xdr:to>
      <xdr:col>14</xdr:col>
      <xdr:colOff>99060</xdr:colOff>
      <xdr:row>57</xdr:row>
      <xdr:rowOff>152400</xdr:rowOff>
    </xdr:to>
    <xdr:cxnSp macro="">
      <xdr:nvCxnSpPr>
        <xdr:cNvPr id="15" name="Conector recto 14">
          <a:extLst>
            <a:ext uri="{FF2B5EF4-FFF2-40B4-BE49-F238E27FC236}">
              <a16:creationId xmlns:a16="http://schemas.microsoft.com/office/drawing/2014/main" xmlns="" id="{00000000-0008-0000-0D00-00000F000000}"/>
            </a:ext>
          </a:extLst>
        </xdr:cNvPr>
        <xdr:cNvCxnSpPr/>
      </xdr:nvCxnSpPr>
      <xdr:spPr>
        <a:xfrm flipV="1">
          <a:off x="1181100" y="10134600"/>
          <a:ext cx="7277100" cy="7620"/>
        </a:xfrm>
        <a:prstGeom prst="line">
          <a:avLst/>
        </a:prstGeom>
        <a:ln>
          <a:solidFill>
            <a:schemeClr val="bg1">
              <a:lumMod val="6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281940</xdr:colOff>
      <xdr:row>55</xdr:row>
      <xdr:rowOff>148590</xdr:rowOff>
    </xdr:from>
    <xdr:to>
      <xdr:col>3</xdr:col>
      <xdr:colOff>335280</xdr:colOff>
      <xdr:row>57</xdr:row>
      <xdr:rowOff>57150</xdr:rowOff>
    </xdr:to>
    <xdr:sp macro="" textlink="">
      <xdr:nvSpPr>
        <xdr:cNvPr id="17" name="CuadroTexto 16">
          <a:extLst>
            <a:ext uri="{FF2B5EF4-FFF2-40B4-BE49-F238E27FC236}">
              <a16:creationId xmlns:a16="http://schemas.microsoft.com/office/drawing/2014/main" xmlns="" id="{00000000-0008-0000-0D00-000011000000}"/>
            </a:ext>
          </a:extLst>
        </xdr:cNvPr>
        <xdr:cNvSpPr txBox="1"/>
      </xdr:nvSpPr>
      <xdr:spPr>
        <a:xfrm>
          <a:off x="1165860" y="9787890"/>
          <a:ext cx="563880" cy="2590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1200"/>
            <a:t>D.1</a:t>
          </a:r>
        </a:p>
      </xdr:txBody>
    </xdr:sp>
    <xdr:clientData/>
  </xdr:twoCellAnchor>
  <xdr:twoCellAnchor>
    <xdr:from>
      <xdr:col>3</xdr:col>
      <xdr:colOff>632460</xdr:colOff>
      <xdr:row>55</xdr:row>
      <xdr:rowOff>148590</xdr:rowOff>
    </xdr:from>
    <xdr:to>
      <xdr:col>4</xdr:col>
      <xdr:colOff>381000</xdr:colOff>
      <xdr:row>57</xdr:row>
      <xdr:rowOff>57150</xdr:rowOff>
    </xdr:to>
    <xdr:sp macro="" textlink="">
      <xdr:nvSpPr>
        <xdr:cNvPr id="18" name="CuadroTexto 17">
          <a:extLst>
            <a:ext uri="{FF2B5EF4-FFF2-40B4-BE49-F238E27FC236}">
              <a16:creationId xmlns:a16="http://schemas.microsoft.com/office/drawing/2014/main" xmlns="" id="{00000000-0008-0000-0D00-000012000000}"/>
            </a:ext>
          </a:extLst>
        </xdr:cNvPr>
        <xdr:cNvSpPr txBox="1"/>
      </xdr:nvSpPr>
      <xdr:spPr>
        <a:xfrm>
          <a:off x="2026920" y="9787890"/>
          <a:ext cx="563880" cy="2590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1200"/>
            <a:t>D.2</a:t>
          </a:r>
        </a:p>
      </xdr:txBody>
    </xdr:sp>
    <xdr:clientData/>
  </xdr:twoCellAnchor>
  <xdr:twoCellAnchor>
    <xdr:from>
      <xdr:col>6</xdr:col>
      <xdr:colOff>182880</xdr:colOff>
      <xdr:row>55</xdr:row>
      <xdr:rowOff>148590</xdr:rowOff>
    </xdr:from>
    <xdr:to>
      <xdr:col>6</xdr:col>
      <xdr:colOff>746760</xdr:colOff>
      <xdr:row>57</xdr:row>
      <xdr:rowOff>57150</xdr:rowOff>
    </xdr:to>
    <xdr:sp macro="" textlink="">
      <xdr:nvSpPr>
        <xdr:cNvPr id="19" name="CuadroTexto 18">
          <a:extLst>
            <a:ext uri="{FF2B5EF4-FFF2-40B4-BE49-F238E27FC236}">
              <a16:creationId xmlns:a16="http://schemas.microsoft.com/office/drawing/2014/main" xmlns="" id="{00000000-0008-0000-0D00-000013000000}"/>
            </a:ext>
          </a:extLst>
        </xdr:cNvPr>
        <xdr:cNvSpPr txBox="1"/>
      </xdr:nvSpPr>
      <xdr:spPr>
        <a:xfrm>
          <a:off x="3672840" y="9787890"/>
          <a:ext cx="563880" cy="2590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1200"/>
            <a:t>D.2</a:t>
          </a:r>
        </a:p>
      </xdr:txBody>
    </xdr:sp>
    <xdr:clientData/>
  </xdr:twoCellAnchor>
  <xdr:twoCellAnchor>
    <xdr:from>
      <xdr:col>9</xdr:col>
      <xdr:colOff>243840</xdr:colOff>
      <xdr:row>55</xdr:row>
      <xdr:rowOff>148590</xdr:rowOff>
    </xdr:from>
    <xdr:to>
      <xdr:col>10</xdr:col>
      <xdr:colOff>259080</xdr:colOff>
      <xdr:row>57</xdr:row>
      <xdr:rowOff>57150</xdr:rowOff>
    </xdr:to>
    <xdr:sp macro="" textlink="">
      <xdr:nvSpPr>
        <xdr:cNvPr id="20" name="CuadroTexto 19">
          <a:extLst>
            <a:ext uri="{FF2B5EF4-FFF2-40B4-BE49-F238E27FC236}">
              <a16:creationId xmlns:a16="http://schemas.microsoft.com/office/drawing/2014/main" xmlns="" id="{00000000-0008-0000-0D00-000014000000}"/>
            </a:ext>
          </a:extLst>
        </xdr:cNvPr>
        <xdr:cNvSpPr txBox="1"/>
      </xdr:nvSpPr>
      <xdr:spPr>
        <a:xfrm>
          <a:off x="5372100" y="9787890"/>
          <a:ext cx="563880" cy="2590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1200"/>
            <a:t>D.4</a:t>
          </a:r>
        </a:p>
      </xdr:txBody>
    </xdr:sp>
    <xdr:clientData/>
  </xdr:twoCellAnchor>
  <xdr:twoCellAnchor>
    <xdr:from>
      <xdr:col>12</xdr:col>
      <xdr:colOff>99060</xdr:colOff>
      <xdr:row>55</xdr:row>
      <xdr:rowOff>148590</xdr:rowOff>
    </xdr:from>
    <xdr:to>
      <xdr:col>12</xdr:col>
      <xdr:colOff>662940</xdr:colOff>
      <xdr:row>57</xdr:row>
      <xdr:rowOff>57150</xdr:rowOff>
    </xdr:to>
    <xdr:sp macro="" textlink="">
      <xdr:nvSpPr>
        <xdr:cNvPr id="25" name="CuadroTexto 24">
          <a:extLst>
            <a:ext uri="{FF2B5EF4-FFF2-40B4-BE49-F238E27FC236}">
              <a16:creationId xmlns:a16="http://schemas.microsoft.com/office/drawing/2014/main" xmlns="" id="{00000000-0008-0000-0D00-000019000000}"/>
            </a:ext>
          </a:extLst>
        </xdr:cNvPr>
        <xdr:cNvSpPr txBox="1"/>
      </xdr:nvSpPr>
      <xdr:spPr>
        <a:xfrm>
          <a:off x="7040880" y="9787890"/>
          <a:ext cx="563880" cy="2590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1200"/>
            <a:t>D.5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130810</xdr:colOff>
      <xdr:row>38</xdr:row>
      <xdr:rowOff>136525</xdr:rowOff>
    </xdr:from>
    <xdr:to>
      <xdr:col>20</xdr:col>
      <xdr:colOff>381000</xdr:colOff>
      <xdr:row>58</xdr:row>
      <xdr:rowOff>25400</xdr:rowOff>
    </xdr:to>
    <xdr:graphicFrame macro="">
      <xdr:nvGraphicFramePr>
        <xdr:cNvPr id="5" name="Gráfico 1">
          <a:extLst>
            <a:ext uri="{FF2B5EF4-FFF2-40B4-BE49-F238E27FC236}">
              <a16:creationId xmlns:a16="http://schemas.microsoft.com/office/drawing/2014/main" xmlns="" id="{00000000-0008-0000-04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23495</xdr:colOff>
      <xdr:row>17</xdr:row>
      <xdr:rowOff>24765</xdr:rowOff>
    </xdr:from>
    <xdr:to>
      <xdr:col>20</xdr:col>
      <xdr:colOff>444500</xdr:colOff>
      <xdr:row>36</xdr:row>
      <xdr:rowOff>151130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0</xdr:colOff>
      <xdr:row>17</xdr:row>
      <xdr:rowOff>47625</xdr:rowOff>
    </xdr:from>
    <xdr:to>
      <xdr:col>53</xdr:col>
      <xdr:colOff>323003</xdr:colOff>
      <xdr:row>36</xdr:row>
      <xdr:rowOff>145415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xmlns="" id="{00000000-0008-0000-04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20</xdr:col>
      <xdr:colOff>587375</xdr:colOff>
      <xdr:row>38</xdr:row>
      <xdr:rowOff>132715</xdr:rowOff>
    </xdr:from>
    <xdr:to>
      <xdr:col>53</xdr:col>
      <xdr:colOff>434975</xdr:colOff>
      <xdr:row>58</xdr:row>
      <xdr:rowOff>21590</xdr:rowOff>
    </xdr:to>
    <xdr:graphicFrame macro="">
      <xdr:nvGraphicFramePr>
        <xdr:cNvPr id="6" name="Gráfico 1">
          <a:extLst>
            <a:ext uri="{FF2B5EF4-FFF2-40B4-BE49-F238E27FC236}">
              <a16:creationId xmlns:a16="http://schemas.microsoft.com/office/drawing/2014/main" xmlns="" id="{00000000-0008-0000-0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123031</xdr:colOff>
      <xdr:row>45</xdr:row>
      <xdr:rowOff>120333</xdr:rowOff>
    </xdr:from>
    <xdr:to>
      <xdr:col>25</xdr:col>
      <xdr:colOff>63500</xdr:colOff>
      <xdr:row>65</xdr:row>
      <xdr:rowOff>9208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102870</xdr:colOff>
      <xdr:row>24</xdr:row>
      <xdr:rowOff>150494</xdr:rowOff>
    </xdr:from>
    <xdr:to>
      <xdr:col>25</xdr:col>
      <xdr:colOff>47625</xdr:colOff>
      <xdr:row>44</xdr:row>
      <xdr:rowOff>31432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25</xdr:col>
      <xdr:colOff>206376</xdr:colOff>
      <xdr:row>24</xdr:row>
      <xdr:rowOff>167217</xdr:rowOff>
    </xdr:from>
    <xdr:to>
      <xdr:col>53</xdr:col>
      <xdr:colOff>377507</xdr:colOff>
      <xdr:row>44</xdr:row>
      <xdr:rowOff>50695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xmlns="" id="{00000000-0008-0000-05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214153</xdr:colOff>
      <xdr:row>45</xdr:row>
      <xdr:rowOff>100807</xdr:rowOff>
    </xdr:from>
    <xdr:to>
      <xdr:col>53</xdr:col>
      <xdr:colOff>396875</xdr:colOff>
      <xdr:row>65</xdr:row>
      <xdr:rowOff>28734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xmlns="" id="{00000000-0008-0000-05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46</xdr:row>
      <xdr:rowOff>96520</xdr:rowOff>
    </xdr:from>
    <xdr:to>
      <xdr:col>25</xdr:col>
      <xdr:colOff>269875</xdr:colOff>
      <xdr:row>65</xdr:row>
      <xdr:rowOff>191770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23495</xdr:colOff>
      <xdr:row>24</xdr:row>
      <xdr:rowOff>182245</xdr:rowOff>
    </xdr:from>
    <xdr:to>
      <xdr:col>25</xdr:col>
      <xdr:colOff>190500</xdr:colOff>
      <xdr:row>44</xdr:row>
      <xdr:rowOff>71120</xdr:rowOff>
    </xdr:to>
    <xdr:graphicFrame macro="">
      <xdr:nvGraphicFramePr>
        <xdr:cNvPr id="3" name="Gráfico 3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25</xdr:col>
      <xdr:colOff>317500</xdr:colOff>
      <xdr:row>24</xdr:row>
      <xdr:rowOff>190500</xdr:rowOff>
    </xdr:from>
    <xdr:to>
      <xdr:col>53</xdr:col>
      <xdr:colOff>344170</xdr:colOff>
      <xdr:row>44</xdr:row>
      <xdr:rowOff>81915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xmlns="" id="{00000000-0008-0000-06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428626</xdr:colOff>
      <xdr:row>46</xdr:row>
      <xdr:rowOff>95250</xdr:rowOff>
    </xdr:from>
    <xdr:to>
      <xdr:col>53</xdr:col>
      <xdr:colOff>214631</xdr:colOff>
      <xdr:row>65</xdr:row>
      <xdr:rowOff>190500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xmlns="" id="{00000000-0008-0000-06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95249</xdr:colOff>
      <xdr:row>37</xdr:row>
      <xdr:rowOff>47625</xdr:rowOff>
    </xdr:from>
    <xdr:to>
      <xdr:col>20</xdr:col>
      <xdr:colOff>603249</xdr:colOff>
      <xdr:row>56</xdr:row>
      <xdr:rowOff>142875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31750</xdr:colOff>
      <xdr:row>57</xdr:row>
      <xdr:rowOff>174625</xdr:rowOff>
    </xdr:from>
    <xdr:to>
      <xdr:col>25</xdr:col>
      <xdr:colOff>31749</xdr:colOff>
      <xdr:row>78</xdr:row>
      <xdr:rowOff>1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xmlns="" id="{00000000-0008-0000-07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25</xdr:col>
      <xdr:colOff>190500</xdr:colOff>
      <xdr:row>37</xdr:row>
      <xdr:rowOff>49742</xdr:rowOff>
    </xdr:from>
    <xdr:to>
      <xdr:col>53</xdr:col>
      <xdr:colOff>282788</xdr:colOff>
      <xdr:row>56</xdr:row>
      <xdr:rowOff>176107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xmlns="" id="{00000000-0008-0000-07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285750</xdr:colOff>
      <xdr:row>57</xdr:row>
      <xdr:rowOff>183515</xdr:rowOff>
    </xdr:from>
    <xdr:to>
      <xdr:col>53</xdr:col>
      <xdr:colOff>223520</xdr:colOff>
      <xdr:row>78</xdr:row>
      <xdr:rowOff>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xmlns="" id="{00000000-0008-0000-07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</xdr:colOff>
      <xdr:row>16</xdr:row>
      <xdr:rowOff>158750</xdr:rowOff>
    </xdr:from>
    <xdr:to>
      <xdr:col>20</xdr:col>
      <xdr:colOff>285749</xdr:colOff>
      <xdr:row>36</xdr:row>
      <xdr:rowOff>47625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xmlns="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47624</xdr:colOff>
      <xdr:row>37</xdr:row>
      <xdr:rowOff>31750</xdr:rowOff>
    </xdr:from>
    <xdr:to>
      <xdr:col>20</xdr:col>
      <xdr:colOff>317499</xdr:colOff>
      <xdr:row>56</xdr:row>
      <xdr:rowOff>127000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xmlns="" id="{00000000-0008-0000-08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20</xdr:col>
      <xdr:colOff>444500</xdr:colOff>
      <xdr:row>16</xdr:row>
      <xdr:rowOff>121708</xdr:rowOff>
    </xdr:from>
    <xdr:to>
      <xdr:col>53</xdr:col>
      <xdr:colOff>470112</xdr:colOff>
      <xdr:row>36</xdr:row>
      <xdr:rowOff>13123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xmlns="" id="{00000000-0008-0000-08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20</xdr:col>
      <xdr:colOff>496570</xdr:colOff>
      <xdr:row>37</xdr:row>
      <xdr:rowOff>62865</xdr:rowOff>
    </xdr:from>
    <xdr:to>
      <xdr:col>53</xdr:col>
      <xdr:colOff>428625</xdr:colOff>
      <xdr:row>56</xdr:row>
      <xdr:rowOff>158115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xmlns="" id="{00000000-0008-0000-08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15875</xdr:colOff>
      <xdr:row>36</xdr:row>
      <xdr:rowOff>127000</xdr:rowOff>
    </xdr:from>
    <xdr:to>
      <xdr:col>17</xdr:col>
      <xdr:colOff>508000</xdr:colOff>
      <xdr:row>55</xdr:row>
      <xdr:rowOff>95251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xmlns="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15875</xdr:colOff>
      <xdr:row>56</xdr:row>
      <xdr:rowOff>63500</xdr:rowOff>
    </xdr:from>
    <xdr:to>
      <xdr:col>17</xdr:col>
      <xdr:colOff>460375</xdr:colOff>
      <xdr:row>75</xdr:row>
      <xdr:rowOff>158750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xmlns="" id="{00000000-0008-0000-09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19</xdr:col>
      <xdr:colOff>61383</xdr:colOff>
      <xdr:row>36</xdr:row>
      <xdr:rowOff>142875</xdr:rowOff>
    </xdr:from>
    <xdr:to>
      <xdr:col>41</xdr:col>
      <xdr:colOff>460375</xdr:colOff>
      <xdr:row>55</xdr:row>
      <xdr:rowOff>115782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xmlns="" id="{00000000-0008-0000-09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41275</xdr:colOff>
      <xdr:row>56</xdr:row>
      <xdr:rowOff>150495</xdr:rowOff>
    </xdr:from>
    <xdr:to>
      <xdr:col>41</xdr:col>
      <xdr:colOff>476250</xdr:colOff>
      <xdr:row>76</xdr:row>
      <xdr:rowOff>39370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xmlns="" id="{00000000-0008-0000-09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15</xdr:row>
      <xdr:rowOff>15875</xdr:rowOff>
    </xdr:from>
    <xdr:to>
      <xdr:col>17</xdr:col>
      <xdr:colOff>428625</xdr:colOff>
      <xdr:row>34</xdr:row>
      <xdr:rowOff>111125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xmlns="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15874</xdr:colOff>
      <xdr:row>35</xdr:row>
      <xdr:rowOff>111125</xdr:rowOff>
    </xdr:from>
    <xdr:to>
      <xdr:col>17</xdr:col>
      <xdr:colOff>460374</xdr:colOff>
      <xdr:row>55</xdr:row>
      <xdr:rowOff>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xmlns="" id="{00000000-0008-0000-0A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131233</xdr:colOff>
      <xdr:row>15</xdr:row>
      <xdr:rowOff>15875</xdr:rowOff>
    </xdr:from>
    <xdr:to>
      <xdr:col>41</xdr:col>
      <xdr:colOff>381000</xdr:colOff>
      <xdr:row>34</xdr:row>
      <xdr:rowOff>113665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xmlns="" id="{00000000-0008-0000-0A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18</xdr:col>
      <xdr:colOff>128270</xdr:colOff>
      <xdr:row>35</xdr:row>
      <xdr:rowOff>120015</xdr:rowOff>
    </xdr:from>
    <xdr:to>
      <xdr:col>41</xdr:col>
      <xdr:colOff>396875</xdr:colOff>
      <xdr:row>55</xdr:row>
      <xdr:rowOff>40005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xmlns="" id="{00000000-0008-0000-0A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</xdr:colOff>
      <xdr:row>48</xdr:row>
      <xdr:rowOff>25400</xdr:rowOff>
    </xdr:from>
    <xdr:to>
      <xdr:col>29</xdr:col>
      <xdr:colOff>809625</xdr:colOff>
      <xdr:row>67</xdr:row>
      <xdr:rowOff>120650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xmlns="" id="{00000000-0008-0000-0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134620</xdr:colOff>
      <xdr:row>27</xdr:row>
      <xdr:rowOff>151765</xdr:rowOff>
    </xdr:from>
    <xdr:to>
      <xdr:col>29</xdr:col>
      <xdr:colOff>777875</xdr:colOff>
      <xdr:row>47</xdr:row>
      <xdr:rowOff>71755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xmlns="" id="{00000000-0008-0000-0B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29</xdr:col>
      <xdr:colOff>1031876</xdr:colOff>
      <xdr:row>27</xdr:row>
      <xdr:rowOff>129117</xdr:rowOff>
    </xdr:from>
    <xdr:to>
      <xdr:col>46</xdr:col>
      <xdr:colOff>381000</xdr:colOff>
      <xdr:row>47</xdr:row>
      <xdr:rowOff>49107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xmlns="" id="{00000000-0008-0000-0B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29</xdr:col>
      <xdr:colOff>1079500</xdr:colOff>
      <xdr:row>48</xdr:row>
      <xdr:rowOff>4445</xdr:rowOff>
    </xdr:from>
    <xdr:to>
      <xdr:col>46</xdr:col>
      <xdr:colOff>492125</xdr:colOff>
      <xdr:row>67</xdr:row>
      <xdr:rowOff>130810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xmlns="" id="{00000000-0008-0000-0B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4.bin"/><Relationship Id="rId2" Type="http://schemas.openxmlformats.org/officeDocument/2006/relationships/printerSettings" Target="../printerSettings/printerSettings23.bin"/><Relationship Id="rId1" Type="http://schemas.openxmlformats.org/officeDocument/2006/relationships/printerSettings" Target="../printerSettings/printerSettings22.bin"/><Relationship Id="rId4" Type="http://schemas.openxmlformats.org/officeDocument/2006/relationships/drawing" Target="../drawings/drawing7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5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8.bin"/><Relationship Id="rId2" Type="http://schemas.openxmlformats.org/officeDocument/2006/relationships/printerSettings" Target="../printerSettings/printerSettings27.bin"/><Relationship Id="rId1" Type="http://schemas.openxmlformats.org/officeDocument/2006/relationships/printerSettings" Target="../printerSettings/printerSettings26.bin"/><Relationship Id="rId6" Type="http://schemas.openxmlformats.org/officeDocument/2006/relationships/comments" Target="../comments2.xml"/><Relationship Id="rId5" Type="http://schemas.openxmlformats.org/officeDocument/2006/relationships/vmlDrawing" Target="../drawings/vmlDrawing2.vml"/><Relationship Id="rId4" Type="http://schemas.openxmlformats.org/officeDocument/2006/relationships/drawing" Target="../drawings/drawing9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29.bin"/><Relationship Id="rId4" Type="http://schemas.openxmlformats.org/officeDocument/2006/relationships/comments" Target="../comments3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3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Relationship Id="rId4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3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6.bin"/><Relationship Id="rId2" Type="http://schemas.openxmlformats.org/officeDocument/2006/relationships/printerSettings" Target="../printerSettings/printerSettings15.bin"/><Relationship Id="rId1" Type="http://schemas.openxmlformats.org/officeDocument/2006/relationships/printerSettings" Target="../printerSettings/printerSettings14.bin"/><Relationship Id="rId4" Type="http://schemas.openxmlformats.org/officeDocument/2006/relationships/drawing" Target="../drawings/drawing3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0.bin"/><Relationship Id="rId2" Type="http://schemas.openxmlformats.org/officeDocument/2006/relationships/printerSettings" Target="../printerSettings/printerSettings19.bin"/><Relationship Id="rId1" Type="http://schemas.openxmlformats.org/officeDocument/2006/relationships/printerSettings" Target="../printerSettings/printerSettings18.bin"/><Relationship Id="rId4" Type="http://schemas.openxmlformats.org/officeDocument/2006/relationships/drawing" Target="../drawings/drawing5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2:P41"/>
  <sheetViews>
    <sheetView showGridLines="0" topLeftCell="A22" zoomScaleNormal="100" workbookViewId="0">
      <selection activeCell="AD62" sqref="AD62"/>
    </sheetView>
  </sheetViews>
  <sheetFormatPr baseColWidth="10" defaultRowHeight="16.5"/>
  <cols>
    <col min="1" max="1" width="2.42578125" customWidth="1"/>
    <col min="2" max="2" width="8.28515625" customWidth="1"/>
    <col min="3" max="3" width="9.28515625" customWidth="1"/>
    <col min="4" max="4" width="2" bestFit="1" customWidth="1"/>
    <col min="5" max="5" width="2.28515625" bestFit="1" customWidth="1"/>
    <col min="6" max="6" width="2.140625" bestFit="1" customWidth="1"/>
    <col min="7" max="7" width="9.7109375" customWidth="1"/>
    <col min="8" max="8" width="14.140625" customWidth="1"/>
    <col min="9" max="9" width="12.42578125" bestFit="1" customWidth="1"/>
    <col min="10" max="10" width="13.5703125" bestFit="1" customWidth="1"/>
    <col min="11" max="11" width="10.42578125" bestFit="1" customWidth="1"/>
    <col min="12" max="12" width="7.42578125" bestFit="1" customWidth="1"/>
    <col min="13" max="13" width="8.85546875" bestFit="1" customWidth="1"/>
    <col min="14" max="14" width="8.28515625" customWidth="1"/>
    <col min="15" max="15" width="11.5703125" bestFit="1" customWidth="1"/>
    <col min="16" max="16" width="12.5703125" bestFit="1" customWidth="1"/>
  </cols>
  <sheetData>
    <row r="2" spans="2:14">
      <c r="B2" s="2" t="s">
        <v>124</v>
      </c>
    </row>
    <row r="3" spans="2:14">
      <c r="B3" s="2" t="s">
        <v>40</v>
      </c>
    </row>
    <row r="4" spans="2:14" s="151" customFormat="1" ht="12.75">
      <c r="B4" s="183"/>
      <c r="I4" s="184" t="s">
        <v>86</v>
      </c>
      <c r="J4" s="184" t="s">
        <v>39</v>
      </c>
      <c r="K4" s="184" t="s">
        <v>88</v>
      </c>
    </row>
    <row r="5" spans="2:14" s="151" customFormat="1" ht="12.75">
      <c r="B5" s="184" t="s">
        <v>0</v>
      </c>
      <c r="C5" s="227" t="s">
        <v>80</v>
      </c>
      <c r="D5" s="228"/>
      <c r="E5" s="228"/>
      <c r="F5" s="228"/>
      <c r="G5" s="229"/>
      <c r="H5" s="184" t="s">
        <v>36</v>
      </c>
      <c r="I5" s="31" t="s">
        <v>87</v>
      </c>
      <c r="J5" s="31" t="s">
        <v>87</v>
      </c>
      <c r="K5" s="31" t="s">
        <v>37</v>
      </c>
      <c r="L5" s="184" t="s">
        <v>38</v>
      </c>
      <c r="M5" s="184" t="s">
        <v>41</v>
      </c>
      <c r="N5" s="184" t="s">
        <v>42</v>
      </c>
    </row>
    <row r="6" spans="2:14">
      <c r="B6" s="199" t="s">
        <v>1</v>
      </c>
      <c r="C6" s="8"/>
      <c r="D6" s="7"/>
      <c r="E6" s="7" t="s">
        <v>10</v>
      </c>
      <c r="F6" s="7" t="s">
        <v>8</v>
      </c>
      <c r="G6" s="10">
        <v>3</v>
      </c>
      <c r="H6" s="25">
        <v>3446838</v>
      </c>
      <c r="I6" s="25">
        <v>4930219</v>
      </c>
      <c r="J6" s="34">
        <f>I6/H6</f>
        <v>1.4303599414884018</v>
      </c>
      <c r="K6" s="25">
        <v>32935.516000000003</v>
      </c>
      <c r="L6" s="6">
        <f>(I6/365)/K6</f>
        <v>0.41011804141973951</v>
      </c>
      <c r="M6" s="6">
        <f>H6/$H$17</f>
        <v>0.43287340099637145</v>
      </c>
      <c r="N6" s="6">
        <f>I6/$I$17</f>
        <v>1.44392541422674E-2</v>
      </c>
    </row>
    <row r="7" spans="2:14">
      <c r="B7" s="200" t="s">
        <v>2</v>
      </c>
      <c r="C7" s="18">
        <f>G6</f>
        <v>3</v>
      </c>
      <c r="D7" s="19" t="s">
        <v>9</v>
      </c>
      <c r="E7" s="19" t="s">
        <v>10</v>
      </c>
      <c r="F7" s="19" t="s">
        <v>8</v>
      </c>
      <c r="G7" s="20">
        <v>15</v>
      </c>
      <c r="H7" s="26">
        <v>4122183</v>
      </c>
      <c r="I7" s="26">
        <v>28247635</v>
      </c>
      <c r="J7" s="26">
        <f t="shared" ref="J7:J16" si="0">I7/H7</f>
        <v>6.8525912119864643</v>
      </c>
      <c r="K7" s="26">
        <v>207178</v>
      </c>
      <c r="L7" s="21">
        <f t="shared" ref="L7:L17" si="1">(I7/365)/K7</f>
        <v>0.37354729180664842</v>
      </c>
      <c r="M7" s="22">
        <f t="shared" ref="M7:M17" si="2">H7/$H$17</f>
        <v>0.5176870438179646</v>
      </c>
      <c r="N7" s="21">
        <f t="shared" ref="N7:N17" si="3">I7/$I$17</f>
        <v>8.272954622969235E-2</v>
      </c>
    </row>
    <row r="8" spans="2:14">
      <c r="B8" s="199" t="s">
        <v>3</v>
      </c>
      <c r="C8" s="9">
        <f t="shared" ref="C8:C16" si="4">G7</f>
        <v>15</v>
      </c>
      <c r="D8" s="7" t="s">
        <v>9</v>
      </c>
      <c r="E8" s="7" t="s">
        <v>10</v>
      </c>
      <c r="F8" s="7" t="s">
        <v>8</v>
      </c>
      <c r="G8" s="10">
        <v>50</v>
      </c>
      <c r="H8" s="25">
        <v>313545</v>
      </c>
      <c r="I8" s="25">
        <v>6747384</v>
      </c>
      <c r="J8" s="25">
        <f t="shared" si="0"/>
        <v>21.519667033440175</v>
      </c>
      <c r="K8" s="25">
        <v>51081.88</v>
      </c>
      <c r="L8" s="6">
        <f t="shared" si="1"/>
        <v>0.36188925626159096</v>
      </c>
      <c r="M8" s="17">
        <f t="shared" si="2"/>
        <v>3.9376753568170969E-2</v>
      </c>
      <c r="N8" s="6">
        <f t="shared" si="3"/>
        <v>1.9761230154577064E-2</v>
      </c>
    </row>
    <row r="9" spans="2:14">
      <c r="B9" s="200" t="s">
        <v>4</v>
      </c>
      <c r="C9" s="18">
        <f t="shared" si="4"/>
        <v>50</v>
      </c>
      <c r="D9" s="19" t="s">
        <v>9</v>
      </c>
      <c r="E9" s="19" t="s">
        <v>10</v>
      </c>
      <c r="F9" s="19" t="s">
        <v>8</v>
      </c>
      <c r="G9" s="20">
        <v>300</v>
      </c>
      <c r="H9" s="26">
        <v>52916</v>
      </c>
      <c r="I9" s="26">
        <v>6294295</v>
      </c>
      <c r="J9" s="26">
        <f t="shared" si="0"/>
        <v>118.94880565424447</v>
      </c>
      <c r="K9" s="26">
        <v>40068.849000000002</v>
      </c>
      <c r="L9" s="21">
        <f t="shared" si="1"/>
        <v>0.43037532312486537</v>
      </c>
      <c r="M9" s="22">
        <f t="shared" si="2"/>
        <v>6.6454904138587281E-3</v>
      </c>
      <c r="N9" s="21">
        <f t="shared" si="3"/>
        <v>1.8434257210765484E-2</v>
      </c>
    </row>
    <row r="10" spans="2:14">
      <c r="B10" s="199" t="s">
        <v>5</v>
      </c>
      <c r="C10" s="9">
        <f t="shared" si="4"/>
        <v>300</v>
      </c>
      <c r="D10" s="7" t="s">
        <v>9</v>
      </c>
      <c r="E10" s="7" t="s">
        <v>10</v>
      </c>
      <c r="F10" s="7" t="s">
        <v>8</v>
      </c>
      <c r="G10" s="10">
        <v>1500</v>
      </c>
      <c r="H10" s="25">
        <v>21564</v>
      </c>
      <c r="I10" s="25">
        <v>12961077</v>
      </c>
      <c r="J10" s="25">
        <f t="shared" si="0"/>
        <v>601.05161380077902</v>
      </c>
      <c r="K10" s="25">
        <v>84629.228000000003</v>
      </c>
      <c r="L10" s="6">
        <f t="shared" si="1"/>
        <v>0.41959262584789264</v>
      </c>
      <c r="M10" s="17">
        <f t="shared" si="2"/>
        <v>2.7081290211741177E-3</v>
      </c>
      <c r="N10" s="6">
        <f t="shared" si="3"/>
        <v>3.7959426297390991E-2</v>
      </c>
    </row>
    <row r="11" spans="2:14">
      <c r="B11" s="200" t="s">
        <v>6</v>
      </c>
      <c r="C11" s="18">
        <f t="shared" si="4"/>
        <v>1500</v>
      </c>
      <c r="D11" s="19" t="s">
        <v>9</v>
      </c>
      <c r="E11" s="19" t="s">
        <v>10</v>
      </c>
      <c r="F11" s="19" t="s">
        <v>8</v>
      </c>
      <c r="G11" s="20">
        <v>5000</v>
      </c>
      <c r="H11" s="26">
        <v>3184</v>
      </c>
      <c r="I11" s="26">
        <v>8158213</v>
      </c>
      <c r="J11" s="26">
        <f t="shared" si="0"/>
        <v>2562.252826633166</v>
      </c>
      <c r="K11" s="26">
        <v>47957.124000000003</v>
      </c>
      <c r="L11" s="21">
        <f t="shared" si="1"/>
        <v>0.46606774195113709</v>
      </c>
      <c r="M11" s="22">
        <f t="shared" si="2"/>
        <v>3.9986471913459431E-4</v>
      </c>
      <c r="N11" s="21">
        <f t="shared" si="3"/>
        <v>2.3893159888789879E-2</v>
      </c>
    </row>
    <row r="12" spans="2:14">
      <c r="B12" s="199" t="s">
        <v>7</v>
      </c>
      <c r="C12" s="9">
        <f t="shared" si="4"/>
        <v>5000</v>
      </c>
      <c r="D12" s="7" t="s">
        <v>9</v>
      </c>
      <c r="E12" s="7" t="s">
        <v>10</v>
      </c>
      <c r="F12" s="7" t="s">
        <v>8</v>
      </c>
      <c r="G12" s="10">
        <v>15000</v>
      </c>
      <c r="H12" s="25">
        <v>1152</v>
      </c>
      <c r="I12" s="25">
        <v>9984971</v>
      </c>
      <c r="J12" s="25">
        <f t="shared" si="0"/>
        <v>8667.5095486111113</v>
      </c>
      <c r="K12" s="25">
        <v>55648.959000000003</v>
      </c>
      <c r="L12" s="6">
        <f t="shared" si="1"/>
        <v>0.49158304886721865</v>
      </c>
      <c r="M12" s="17">
        <f t="shared" si="2"/>
        <v>1.4467467224970246E-4</v>
      </c>
      <c r="N12" s="6">
        <f t="shared" si="3"/>
        <v>2.9243231157108814E-2</v>
      </c>
    </row>
    <row r="13" spans="2:14">
      <c r="B13" s="200" t="s">
        <v>31</v>
      </c>
      <c r="C13" s="18">
        <f t="shared" si="4"/>
        <v>15000</v>
      </c>
      <c r="D13" s="19" t="s">
        <v>9</v>
      </c>
      <c r="E13" s="19" t="s">
        <v>10</v>
      </c>
      <c r="F13" s="19" t="s">
        <v>8</v>
      </c>
      <c r="G13" s="20">
        <v>50000</v>
      </c>
      <c r="H13" s="26">
        <v>709</v>
      </c>
      <c r="I13" s="26">
        <v>18832948</v>
      </c>
      <c r="J13" s="26">
        <f t="shared" si="0"/>
        <v>26562.691114245416</v>
      </c>
      <c r="K13" s="26">
        <v>86680.362999999998</v>
      </c>
      <c r="L13" s="21">
        <f t="shared" si="1"/>
        <v>0.595257288069031</v>
      </c>
      <c r="M13" s="22">
        <f t="shared" si="2"/>
        <v>8.9040227973124171E-5</v>
      </c>
      <c r="N13" s="21">
        <f t="shared" si="3"/>
        <v>5.5156519907149468E-2</v>
      </c>
    </row>
    <row r="14" spans="2:14">
      <c r="B14" s="199" t="s">
        <v>32</v>
      </c>
      <c r="C14" s="9">
        <f t="shared" si="4"/>
        <v>50000</v>
      </c>
      <c r="D14" s="7" t="s">
        <v>9</v>
      </c>
      <c r="E14" s="7" t="s">
        <v>10</v>
      </c>
      <c r="F14" s="7" t="s">
        <v>8</v>
      </c>
      <c r="G14" s="10">
        <v>150000</v>
      </c>
      <c r="H14" s="25">
        <v>331</v>
      </c>
      <c r="I14" s="25">
        <v>27566254</v>
      </c>
      <c r="J14" s="25">
        <f t="shared" si="0"/>
        <v>83281.73413897281</v>
      </c>
      <c r="K14" s="25">
        <v>109696.29</v>
      </c>
      <c r="L14" s="6">
        <f t="shared" si="1"/>
        <v>0.68848256911554473</v>
      </c>
      <c r="M14" s="17">
        <f t="shared" si="2"/>
        <v>4.1568851141190547E-5</v>
      </c>
      <c r="N14" s="6">
        <f t="shared" si="3"/>
        <v>8.0733968867568617E-2</v>
      </c>
    </row>
    <row r="15" spans="2:14">
      <c r="B15" s="200" t="s">
        <v>33</v>
      </c>
      <c r="C15" s="18">
        <f t="shared" si="4"/>
        <v>150000</v>
      </c>
      <c r="D15" s="19" t="s">
        <v>9</v>
      </c>
      <c r="E15" s="19" t="s">
        <v>10</v>
      </c>
      <c r="F15" s="19" t="s">
        <v>8</v>
      </c>
      <c r="G15" s="20">
        <v>500000</v>
      </c>
      <c r="H15" s="26">
        <v>168</v>
      </c>
      <c r="I15" s="26">
        <v>50057661</v>
      </c>
      <c r="J15" s="26">
        <f t="shared" si="0"/>
        <v>297962.26785714284</v>
      </c>
      <c r="K15" s="26">
        <v>187500.67199999999</v>
      </c>
      <c r="L15" s="21">
        <f t="shared" si="1"/>
        <v>0.73143352100801418</v>
      </c>
      <c r="M15" s="22">
        <f t="shared" si="2"/>
        <v>2.109838970308161E-5</v>
      </c>
      <c r="N15" s="21">
        <f t="shared" si="3"/>
        <v>0.14660510799752857</v>
      </c>
    </row>
    <row r="16" spans="2:14">
      <c r="B16" s="199" t="s">
        <v>34</v>
      </c>
      <c r="C16" s="9">
        <f t="shared" si="4"/>
        <v>500000</v>
      </c>
      <c r="D16" s="7" t="s">
        <v>9</v>
      </c>
      <c r="E16" s="7" t="s">
        <v>10</v>
      </c>
      <c r="F16" s="7"/>
      <c r="G16" s="10"/>
      <c r="H16" s="25">
        <v>103</v>
      </c>
      <c r="I16" s="25">
        <v>167664888</v>
      </c>
      <c r="J16" s="25">
        <f t="shared" si="0"/>
        <v>1627814.4466019417</v>
      </c>
      <c r="K16" s="25">
        <v>825457.91899999999</v>
      </c>
      <c r="L16" s="6">
        <f t="shared" si="1"/>
        <v>0.55648609936498361</v>
      </c>
      <c r="M16" s="17">
        <f t="shared" si="2"/>
        <v>1.2935322258436938E-5</v>
      </c>
      <c r="N16" s="6">
        <f t="shared" si="3"/>
        <v>0.49104429814716138</v>
      </c>
    </row>
    <row r="17" spans="2:16">
      <c r="B17" s="1"/>
      <c r="E17" s="1"/>
      <c r="H17" s="35">
        <f>SUM(H6:H16)</f>
        <v>7962693</v>
      </c>
      <c r="I17" s="35">
        <f>SUM(I6:I16)</f>
        <v>341445545</v>
      </c>
      <c r="J17" s="35">
        <f t="shared" ref="J17:K17" si="5">SUM(J6:J16)</f>
        <v>2047600.7051251889</v>
      </c>
      <c r="K17" s="35">
        <f t="shared" si="5"/>
        <v>1728834.8</v>
      </c>
      <c r="L17" s="5">
        <f t="shared" si="1"/>
        <v>0.54109695534549773</v>
      </c>
      <c r="M17" s="16">
        <f t="shared" si="2"/>
        <v>1</v>
      </c>
      <c r="N17" s="5">
        <f t="shared" si="3"/>
        <v>1</v>
      </c>
    </row>
    <row r="20" spans="2:16">
      <c r="B20" s="2" t="s">
        <v>117</v>
      </c>
    </row>
    <row r="21" spans="2:16">
      <c r="B21" s="169" t="s">
        <v>118</v>
      </c>
    </row>
    <row r="22" spans="2:16">
      <c r="B22" s="169"/>
    </row>
    <row r="23" spans="2:16" s="151" customFormat="1" ht="12.75">
      <c r="B23" s="183"/>
      <c r="I23" s="184" t="s">
        <v>86</v>
      </c>
      <c r="J23" s="184" t="s">
        <v>39</v>
      </c>
      <c r="K23" s="227" t="s">
        <v>122</v>
      </c>
      <c r="L23" s="229"/>
      <c r="M23" s="230" t="s">
        <v>123</v>
      </c>
      <c r="N23" s="231"/>
    </row>
    <row r="24" spans="2:16" s="151" customFormat="1" ht="12.75">
      <c r="B24" s="184" t="s">
        <v>0</v>
      </c>
      <c r="C24" s="227" t="s">
        <v>80</v>
      </c>
      <c r="D24" s="228"/>
      <c r="E24" s="228"/>
      <c r="F24" s="228"/>
      <c r="G24" s="229"/>
      <c r="H24" s="184" t="s">
        <v>36</v>
      </c>
      <c r="I24" s="31" t="s">
        <v>87</v>
      </c>
      <c r="J24" s="31" t="s">
        <v>87</v>
      </c>
      <c r="K24" s="185" t="s">
        <v>41</v>
      </c>
      <c r="L24" s="185" t="s">
        <v>42</v>
      </c>
      <c r="M24" s="185" t="s">
        <v>41</v>
      </c>
      <c r="N24" s="185" t="s">
        <v>42</v>
      </c>
    </row>
    <row r="25" spans="2:16">
      <c r="B25" s="199" t="s">
        <v>65</v>
      </c>
      <c r="C25" s="8"/>
      <c r="D25" s="7"/>
      <c r="E25" s="7" t="s">
        <v>10</v>
      </c>
      <c r="F25" s="7" t="s">
        <v>8</v>
      </c>
      <c r="G25" s="10">
        <v>5</v>
      </c>
      <c r="H25" s="25">
        <v>4697059</v>
      </c>
      <c r="I25" s="25">
        <v>12869145</v>
      </c>
      <c r="J25" s="34">
        <f>I25/H25</f>
        <v>2.7398303917408744</v>
      </c>
      <c r="K25" s="171">
        <f t="shared" ref="K25:K40" si="6">H25/$H$41</f>
        <v>0.59676270779233731</v>
      </c>
      <c r="L25" s="180">
        <f t="shared" ref="L25:L40" si="7">I25/$I$41</f>
        <v>3.699620030966641E-2</v>
      </c>
      <c r="M25" s="180">
        <f>H25/SUM($H$25:$H$29)</f>
        <v>0.59713073197620969</v>
      </c>
      <c r="N25" s="180">
        <f>I25/SUM($I$25:$I$29)</f>
        <v>0.17265851879872401</v>
      </c>
    </row>
    <row r="26" spans="2:16">
      <c r="B26" s="200" t="s">
        <v>66</v>
      </c>
      <c r="C26" s="18">
        <f>G25</f>
        <v>5</v>
      </c>
      <c r="D26" s="19" t="s">
        <v>9</v>
      </c>
      <c r="E26" s="19" t="s">
        <v>10</v>
      </c>
      <c r="F26" s="19" t="s">
        <v>8</v>
      </c>
      <c r="G26" s="20">
        <v>50</v>
      </c>
      <c r="H26" s="26">
        <v>3091965</v>
      </c>
      <c r="I26" s="26">
        <v>30358648</v>
      </c>
      <c r="J26" s="168">
        <f t="shared" ref="J26:J35" si="8">I26/H26</f>
        <v>9.8185613355907968</v>
      </c>
      <c r="K26" s="172">
        <f t="shared" si="6"/>
        <v>0.39283504971922523</v>
      </c>
      <c r="L26" s="179">
        <f t="shared" si="7"/>
        <v>8.7274999429927433E-2</v>
      </c>
      <c r="M26" s="179">
        <f t="shared" ref="M26:M29" si="9">H26/SUM($H$25:$H$29)</f>
        <v>0.39307731150381997</v>
      </c>
      <c r="N26" s="179">
        <f t="shared" ref="N26:N28" si="10">I26/SUM($I$25:$I$29)</f>
        <v>0.40730593962628014</v>
      </c>
    </row>
    <row r="27" spans="2:16">
      <c r="B27" s="199" t="s">
        <v>67</v>
      </c>
      <c r="C27" s="9">
        <f t="shared" ref="C27:C35" si="11">G26</f>
        <v>50</v>
      </c>
      <c r="D27" s="7" t="s">
        <v>9</v>
      </c>
      <c r="E27" s="7" t="s">
        <v>10</v>
      </c>
      <c r="F27" s="7" t="s">
        <v>8</v>
      </c>
      <c r="G27" s="10">
        <v>100</v>
      </c>
      <c r="H27" s="25">
        <v>24836</v>
      </c>
      <c r="I27" s="25">
        <v>1771868</v>
      </c>
      <c r="J27" s="34">
        <f t="shared" si="8"/>
        <v>71.342728297632462</v>
      </c>
      <c r="K27" s="171">
        <f t="shared" si="6"/>
        <v>3.1554210008284951E-3</v>
      </c>
      <c r="L27" s="180">
        <f t="shared" si="7"/>
        <v>5.0937636844007898E-3</v>
      </c>
      <c r="M27" s="180">
        <f t="shared" si="9"/>
        <v>3.1573669522484481E-3</v>
      </c>
      <c r="N27" s="180">
        <f t="shared" si="10"/>
        <v>2.3772216754637351E-2</v>
      </c>
    </row>
    <row r="28" spans="2:16" ht="17.25" thickBot="1">
      <c r="B28" s="201" t="s">
        <v>68</v>
      </c>
      <c r="C28" s="160">
        <f t="shared" si="11"/>
        <v>100</v>
      </c>
      <c r="D28" s="161" t="s">
        <v>9</v>
      </c>
      <c r="E28" s="161" t="s">
        <v>10</v>
      </c>
      <c r="F28" s="161" t="s">
        <v>8</v>
      </c>
      <c r="G28" s="162">
        <v>8000</v>
      </c>
      <c r="H28" s="163">
        <v>51874</v>
      </c>
      <c r="I28" s="163">
        <v>24632730</v>
      </c>
      <c r="J28" s="163">
        <f t="shared" si="8"/>
        <v>474.85696109804525</v>
      </c>
      <c r="K28" s="173">
        <f t="shared" si="6"/>
        <v>6.5906067400941116E-3</v>
      </c>
      <c r="L28" s="181">
        <f t="shared" si="7"/>
        <v>7.0814138255022308E-2</v>
      </c>
      <c r="M28" s="181">
        <f t="shared" si="9"/>
        <v>6.5946711741397971E-3</v>
      </c>
      <c r="N28" s="181">
        <f t="shared" si="10"/>
        <v>0.33048432322185295</v>
      </c>
    </row>
    <row r="29" spans="2:16" ht="17.25" thickBot="1">
      <c r="B29" s="202" t="s">
        <v>69</v>
      </c>
      <c r="C29" s="156">
        <f t="shared" si="11"/>
        <v>8000</v>
      </c>
      <c r="D29" s="157" t="s">
        <v>9</v>
      </c>
      <c r="E29" s="157" t="s">
        <v>10</v>
      </c>
      <c r="F29" s="157"/>
      <c r="G29" s="158"/>
      <c r="H29" s="159">
        <v>314</v>
      </c>
      <c r="I29" s="159">
        <v>4902854</v>
      </c>
      <c r="J29" s="159">
        <f t="shared" si="8"/>
        <v>15614.184713375796</v>
      </c>
      <c r="K29" s="174">
        <f t="shared" si="6"/>
        <v>3.9893791039625844E-5</v>
      </c>
      <c r="L29" s="182">
        <f t="shared" si="7"/>
        <v>1.4094717922056918E-2</v>
      </c>
      <c r="M29" s="182">
        <f t="shared" si="9"/>
        <v>3.9918393582139339E-5</v>
      </c>
      <c r="N29" s="182">
        <f>I29/SUM($I$25:$I$29)</f>
        <v>6.5779001598505513E-2</v>
      </c>
      <c r="P29" s="188"/>
    </row>
    <row r="30" spans="2:16">
      <c r="B30" s="203" t="s">
        <v>70</v>
      </c>
      <c r="C30" s="164">
        <f t="shared" si="11"/>
        <v>0</v>
      </c>
      <c r="D30" s="165" t="s">
        <v>9</v>
      </c>
      <c r="E30" s="165" t="s">
        <v>10</v>
      </c>
      <c r="F30" s="165" t="s">
        <v>8</v>
      </c>
      <c r="G30" s="166">
        <v>5000</v>
      </c>
      <c r="H30" s="167">
        <v>649</v>
      </c>
      <c r="I30" s="167">
        <v>296446</v>
      </c>
      <c r="J30" s="167">
        <f t="shared" si="8"/>
        <v>456.77349768875195</v>
      </c>
      <c r="K30" s="175">
        <f t="shared" si="6"/>
        <v>8.245563816788908E-5</v>
      </c>
      <c r="L30" s="177">
        <f t="shared" si="7"/>
        <v>8.5222255223632712E-4</v>
      </c>
      <c r="M30" s="177">
        <f>H30/SUM($H$30:$H$35)</f>
        <v>0.16683804627249357</v>
      </c>
      <c r="N30" s="177">
        <f>I30/SUM($I$30:$I$35)</f>
        <v>2.3140727339774157E-3</v>
      </c>
      <c r="P30" s="189"/>
    </row>
    <row r="31" spans="2:16">
      <c r="B31" s="204" t="s">
        <v>71</v>
      </c>
      <c r="C31" s="152">
        <f t="shared" si="11"/>
        <v>5000</v>
      </c>
      <c r="D31" s="153" t="s">
        <v>9</v>
      </c>
      <c r="E31" s="153" t="s">
        <v>10</v>
      </c>
      <c r="F31" s="153" t="s">
        <v>8</v>
      </c>
      <c r="G31" s="154">
        <v>500</v>
      </c>
      <c r="H31" s="155">
        <v>1422</v>
      </c>
      <c r="I31" s="155">
        <v>3176060</v>
      </c>
      <c r="J31" s="155">
        <f t="shared" si="8"/>
        <v>2233.5161744022503</v>
      </c>
      <c r="K31" s="176">
        <f t="shared" si="6"/>
        <v>1.8066551228773233E-4</v>
      </c>
      <c r="L31" s="178">
        <f t="shared" si="7"/>
        <v>9.1305329107348697E-3</v>
      </c>
      <c r="M31" s="178">
        <f t="shared" ref="M31:M35" si="12">H31/SUM($H$30:$H$35)</f>
        <v>0.3655526992287918</v>
      </c>
      <c r="N31" s="178">
        <f t="shared" ref="N31:N35" si="13">I31/SUM($I$30:$I$35)</f>
        <v>2.479248783075606E-2</v>
      </c>
    </row>
    <row r="32" spans="2:16">
      <c r="B32" s="200" t="s">
        <v>72</v>
      </c>
      <c r="C32" s="18">
        <f t="shared" si="11"/>
        <v>500</v>
      </c>
      <c r="D32" s="19" t="s">
        <v>9</v>
      </c>
      <c r="E32" s="19" t="s">
        <v>10</v>
      </c>
      <c r="F32" s="19" t="s">
        <v>8</v>
      </c>
      <c r="G32" s="20">
        <v>5000</v>
      </c>
      <c r="H32" s="26">
        <v>1117</v>
      </c>
      <c r="I32" s="26">
        <v>13578912</v>
      </c>
      <c r="J32" s="26">
        <f t="shared" si="8"/>
        <v>12156.590868397494</v>
      </c>
      <c r="K32" s="172">
        <f t="shared" si="6"/>
        <v>1.4191517385752251E-4</v>
      </c>
      <c r="L32" s="179">
        <f t="shared" si="7"/>
        <v>3.9036637503061231E-2</v>
      </c>
      <c r="M32" s="179">
        <f t="shared" si="12"/>
        <v>0.28714652956298198</v>
      </c>
      <c r="N32" s="179">
        <f t="shared" si="13"/>
        <v>0.10599768597410233</v>
      </c>
    </row>
    <row r="33" spans="2:14">
      <c r="B33" s="199" t="s">
        <v>73</v>
      </c>
      <c r="C33" s="9">
        <f t="shared" si="11"/>
        <v>5000</v>
      </c>
      <c r="D33" s="7" t="s">
        <v>9</v>
      </c>
      <c r="E33" s="7" t="s">
        <v>10</v>
      </c>
      <c r="F33" s="7" t="s">
        <v>8</v>
      </c>
      <c r="G33" s="10">
        <v>30000</v>
      </c>
      <c r="H33" s="25">
        <v>412</v>
      </c>
      <c r="I33" s="25">
        <v>20206771</v>
      </c>
      <c r="J33" s="25">
        <f t="shared" si="8"/>
        <v>49045.560679611648</v>
      </c>
      <c r="K33" s="171">
        <f t="shared" si="6"/>
        <v>5.2344719453267028E-5</v>
      </c>
      <c r="L33" s="180">
        <f t="shared" si="7"/>
        <v>5.8090397421705811E-2</v>
      </c>
      <c r="M33" s="180">
        <f t="shared" si="12"/>
        <v>0.10591259640102828</v>
      </c>
      <c r="N33" s="180">
        <f t="shared" si="13"/>
        <v>0.15773509446180944</v>
      </c>
    </row>
    <row r="34" spans="2:14">
      <c r="B34" s="200" t="s">
        <v>74</v>
      </c>
      <c r="C34" s="18">
        <f t="shared" si="11"/>
        <v>30000</v>
      </c>
      <c r="D34" s="19" t="s">
        <v>9</v>
      </c>
      <c r="E34" s="19" t="s">
        <v>10</v>
      </c>
      <c r="F34" s="19" t="s">
        <v>8</v>
      </c>
      <c r="G34" s="20">
        <v>100000</v>
      </c>
      <c r="H34" s="26">
        <v>257</v>
      </c>
      <c r="I34" s="26">
        <v>53072352</v>
      </c>
      <c r="J34" s="26">
        <f t="shared" si="8"/>
        <v>206507.20622568094</v>
      </c>
      <c r="K34" s="172">
        <f t="shared" si="6"/>
        <v>3.2651924513324338E-5</v>
      </c>
      <c r="L34" s="179">
        <f t="shared" si="7"/>
        <v>0.15257232438496299</v>
      </c>
      <c r="M34" s="179">
        <f t="shared" si="12"/>
        <v>6.6066838046272489E-2</v>
      </c>
      <c r="N34" s="179">
        <f t="shared" si="13"/>
        <v>0.4142855113283761</v>
      </c>
    </row>
    <row r="35" spans="2:14" ht="17.25" thickBot="1">
      <c r="B35" s="214" t="s">
        <v>75</v>
      </c>
      <c r="C35" s="215">
        <f t="shared" si="11"/>
        <v>100000</v>
      </c>
      <c r="D35" s="216" t="s">
        <v>9</v>
      </c>
      <c r="E35" s="216" t="s">
        <v>10</v>
      </c>
      <c r="F35" s="216"/>
      <c r="G35" s="217"/>
      <c r="H35" s="218">
        <v>33</v>
      </c>
      <c r="I35" s="218">
        <v>37775199</v>
      </c>
      <c r="J35" s="218">
        <f t="shared" si="8"/>
        <v>1144703</v>
      </c>
      <c r="K35" s="219">
        <f t="shared" si="6"/>
        <v>4.192659567858767E-6</v>
      </c>
      <c r="L35" s="220">
        <f t="shared" si="7"/>
        <v>0.10859609002319193</v>
      </c>
      <c r="M35" s="220">
        <f t="shared" si="12"/>
        <v>8.4832904884318758E-3</v>
      </c>
      <c r="N35" s="220">
        <f t="shared" si="13"/>
        <v>0.29487514767097867</v>
      </c>
    </row>
    <row r="36" spans="2:14">
      <c r="B36" s="204" t="s">
        <v>148</v>
      </c>
      <c r="C36" s="152">
        <f t="shared" ref="C36:C38" si="14">G35</f>
        <v>0</v>
      </c>
      <c r="D36" s="153" t="s">
        <v>9</v>
      </c>
      <c r="E36" s="153" t="s">
        <v>10</v>
      </c>
      <c r="F36" s="153" t="s">
        <v>8</v>
      </c>
      <c r="G36" s="154">
        <v>200000</v>
      </c>
      <c r="H36" s="155">
        <v>45</v>
      </c>
      <c r="I36" s="155">
        <v>4115390</v>
      </c>
      <c r="J36" s="155">
        <f t="shared" ref="J36:J38" si="15">I36/H36</f>
        <v>91453.111111111109</v>
      </c>
      <c r="K36" s="176">
        <f t="shared" si="6"/>
        <v>5.7172630470801367E-6</v>
      </c>
      <c r="L36" s="178">
        <f t="shared" si="7"/>
        <v>1.1830917500144573E-2</v>
      </c>
      <c r="M36" s="178">
        <f>H36/SUM($H$36:$H$38)</f>
        <v>0.34883720930232559</v>
      </c>
      <c r="N36" s="178">
        <f>I36/SUM($I$36:$I$38)</f>
        <v>3.189223884355178E-2</v>
      </c>
    </row>
    <row r="37" spans="2:14">
      <c r="B37" s="200" t="s">
        <v>149</v>
      </c>
      <c r="C37" s="18">
        <f t="shared" si="14"/>
        <v>200000</v>
      </c>
      <c r="D37" s="19" t="s">
        <v>9</v>
      </c>
      <c r="E37" s="19" t="s">
        <v>10</v>
      </c>
      <c r="F37" s="19" t="s">
        <v>8</v>
      </c>
      <c r="G37" s="20">
        <v>1000000</v>
      </c>
      <c r="H37" s="26">
        <v>35</v>
      </c>
      <c r="I37" s="26">
        <v>20703352</v>
      </c>
      <c r="J37" s="26">
        <f t="shared" si="15"/>
        <v>591524.34285714291</v>
      </c>
      <c r="K37" s="172">
        <f t="shared" si="6"/>
        <v>4.4467601477289954E-6</v>
      </c>
      <c r="L37" s="179">
        <f t="shared" si="7"/>
        <v>5.9517967796114866E-2</v>
      </c>
      <c r="M37" s="179">
        <f t="shared" ref="M37:M38" si="16">H37/SUM($H$36:$H$38)</f>
        <v>0.27131782945736432</v>
      </c>
      <c r="N37" s="179">
        <f t="shared" ref="N37:N38" si="17">I37/SUM($I$36:$I$38)</f>
        <v>0.16044074725509017</v>
      </c>
    </row>
    <row r="38" spans="2:14" ht="17.25" thickBot="1">
      <c r="B38" s="214" t="s">
        <v>150</v>
      </c>
      <c r="C38" s="215">
        <f t="shared" si="14"/>
        <v>1000000</v>
      </c>
      <c r="D38" s="216" t="s">
        <v>9</v>
      </c>
      <c r="E38" s="216" t="s">
        <v>10</v>
      </c>
      <c r="F38" s="216"/>
      <c r="G38" s="217"/>
      <c r="H38" s="218">
        <v>49</v>
      </c>
      <c r="I38" s="218">
        <v>104221744</v>
      </c>
      <c r="J38" s="218">
        <f t="shared" si="15"/>
        <v>2126974.3673469387</v>
      </c>
      <c r="K38" s="219">
        <f t="shared" si="6"/>
        <v>6.2254642068205936E-6</v>
      </c>
      <c r="L38" s="220">
        <f t="shared" si="7"/>
        <v>0.2996165260121611</v>
      </c>
      <c r="M38" s="220">
        <f t="shared" si="16"/>
        <v>0.37984496124031009</v>
      </c>
      <c r="N38" s="220">
        <f t="shared" si="17"/>
        <v>0.80766701390135809</v>
      </c>
    </row>
    <row r="39" spans="2:14">
      <c r="B39" s="232" t="s">
        <v>151</v>
      </c>
      <c r="C39" s="233"/>
      <c r="D39" s="233"/>
      <c r="E39" s="233"/>
      <c r="F39" s="233"/>
      <c r="G39" s="234"/>
      <c r="H39" s="221">
        <v>3</v>
      </c>
      <c r="I39" s="221">
        <v>5992361</v>
      </c>
      <c r="J39" s="221">
        <f t="shared" ref="J39:J40" si="18">I39/H39</f>
        <v>1997453.6666666667</v>
      </c>
      <c r="K39" s="222">
        <f t="shared" si="6"/>
        <v>3.8115086980534243E-7</v>
      </c>
      <c r="L39" s="223">
        <f t="shared" si="7"/>
        <v>1.7226831144091771E-2</v>
      </c>
      <c r="M39" s="223">
        <f>H39/SUM($H$39)</f>
        <v>1</v>
      </c>
      <c r="N39" s="223">
        <f>I39/SUM($I$39)</f>
        <v>1</v>
      </c>
    </row>
    <row r="40" spans="2:14">
      <c r="B40" s="224" t="s">
        <v>152</v>
      </c>
      <c r="C40" s="225"/>
      <c r="D40" s="225"/>
      <c r="E40" s="225"/>
      <c r="F40" s="225"/>
      <c r="G40" s="226"/>
      <c r="H40" s="25">
        <v>829</v>
      </c>
      <c r="I40" s="25">
        <v>10176620</v>
      </c>
      <c r="J40" s="25">
        <f t="shared" si="18"/>
        <v>12275.778045838359</v>
      </c>
      <c r="K40" s="171">
        <f t="shared" si="6"/>
        <v>1.0532469035620963E-4</v>
      </c>
      <c r="L40" s="180">
        <f t="shared" si="7"/>
        <v>2.9255733150520671E-2</v>
      </c>
      <c r="M40" s="180">
        <f>H40/SUM($H$40)</f>
        <v>1</v>
      </c>
      <c r="N40" s="180">
        <f>I40/SUM($I$40)</f>
        <v>1</v>
      </c>
    </row>
    <row r="41" spans="2:14">
      <c r="H41" s="35">
        <f>SUM(H25:H40)</f>
        <v>7870899</v>
      </c>
      <c r="I41" s="35">
        <f>SUM(I25:I40)</f>
        <v>347850452</v>
      </c>
      <c r="J41" s="35"/>
    </row>
  </sheetData>
  <customSheetViews>
    <customSheetView guid="{96C67CFB-CE46-46EB-8800-9D77F2045444}" showPageBreaks="1" showGridLines="0" fitToPage="1" topLeftCell="A13">
      <selection activeCell="Q29" sqref="Q29"/>
      <pageMargins left="0.70866141732283472" right="0.70866141732283472" top="0.74803149606299213" bottom="0.74803149606299213" header="0.31496062992125984" footer="0.31496062992125984"/>
      <pageSetup paperSize="9" scale="96" orientation="landscape" r:id="rId1"/>
      <headerFooter>
        <oddHeader>&amp;L&amp;F&amp;R&amp;A</oddHeader>
        <oddFooter>&amp;R&amp;Z&amp;F</oddFooter>
      </headerFooter>
    </customSheetView>
    <customSheetView guid="{DE30ACA8-1284-4798-8E7A-589852EF3C29}" showGridLines="0" fitToPage="1">
      <selection activeCell="J24" sqref="J24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&amp;L&amp;F&amp;R&amp;A</oddHeader>
        <oddFooter>&amp;R&amp;Z&amp;F</oddFooter>
      </headerFooter>
    </customSheetView>
  </customSheetViews>
  <mergeCells count="6">
    <mergeCell ref="B40:G40"/>
    <mergeCell ref="C5:G5"/>
    <mergeCell ref="C24:G24"/>
    <mergeCell ref="K23:L23"/>
    <mergeCell ref="M23:N23"/>
    <mergeCell ref="B39:G3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2" orientation="landscape" r:id="rId3"/>
  <headerFooter>
    <oddHeader>&amp;LANEXO I: CÁLCULOS DEL IMPACTO INICIAL DE LA NUEVA METODOLOGÍA DE PEAJES SOBRE LOS CLIENTES&amp;R&amp;A</oddHeader>
  </headerFooter>
  <legacy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AP35"/>
  <sheetViews>
    <sheetView showGridLines="0" zoomScale="90" zoomScaleNormal="90" workbookViewId="0">
      <pane ySplit="9" topLeftCell="A52" activePane="bottomLeft" state="frozen"/>
      <selection activeCell="AD62" sqref="AD62"/>
      <selection pane="bottomLeft" activeCell="AD62" sqref="AD62"/>
    </sheetView>
  </sheetViews>
  <sheetFormatPr baseColWidth="10" defaultColWidth="11" defaultRowHeight="16.5" outlineLevelCol="1"/>
  <cols>
    <col min="1" max="1" width="2.140625" style="67" customWidth="1"/>
    <col min="2" max="2" width="10.140625" style="66" customWidth="1"/>
    <col min="3" max="3" width="6.7109375" style="67" customWidth="1"/>
    <col min="4" max="4" width="10.42578125" style="67" customWidth="1"/>
    <col min="5" max="5" width="8.42578125" style="67" customWidth="1"/>
    <col min="6" max="6" width="13.42578125" style="74" hidden="1" customWidth="1" outlineLevel="1"/>
    <col min="7" max="7" width="9.7109375" style="74" hidden="1" customWidth="1" outlineLevel="1"/>
    <col min="8" max="8" width="11.5703125" style="78" hidden="1" customWidth="1" outlineLevel="1"/>
    <col min="9" max="9" width="10.5703125" style="78" hidden="1" customWidth="1" outlineLevel="1"/>
    <col min="10" max="10" width="18.85546875" style="78" customWidth="1" collapsed="1"/>
    <col min="11" max="11" width="13.42578125" style="67" hidden="1" customWidth="1" outlineLevel="1"/>
    <col min="12" max="12" width="10" style="67" hidden="1" customWidth="1" outlineLevel="1"/>
    <col min="13" max="13" width="11" style="67" hidden="1" customWidth="1" outlineLevel="1"/>
    <col min="14" max="14" width="10.5703125" style="67" hidden="1" customWidth="1" outlineLevel="1"/>
    <col min="15" max="15" width="12.85546875" style="67" hidden="1" customWidth="1" outlineLevel="1"/>
    <col min="16" max="16" width="13.28515625" style="67" customWidth="1" collapsed="1"/>
    <col min="17" max="17" width="12.5703125" style="67" bestFit="1" customWidth="1"/>
    <col min="18" max="18" width="8" style="67" customWidth="1"/>
    <col min="19" max="19" width="3.42578125" style="67" customWidth="1"/>
    <col min="20" max="20" width="8" style="67" customWidth="1"/>
    <col min="21" max="21" width="13.42578125" style="67" hidden="1" customWidth="1" outlineLevel="1"/>
    <col min="22" max="23" width="11.5703125" style="67" hidden="1" customWidth="1" outlineLevel="1"/>
    <col min="24" max="24" width="12.28515625" style="67" hidden="1" customWidth="1" outlineLevel="1"/>
    <col min="25" max="25" width="18" style="67" customWidth="1" collapsed="1"/>
    <col min="26" max="26" width="9" style="67" hidden="1" customWidth="1" outlineLevel="1"/>
    <col min="27" max="27" width="14.42578125" style="67" customWidth="1" collapsed="1"/>
    <col min="28" max="28" width="13.42578125" style="67" hidden="1" customWidth="1" outlineLevel="1"/>
    <col min="29" max="29" width="9.7109375" style="67" hidden="1" customWidth="1" outlineLevel="1"/>
    <col min="30" max="32" width="11.5703125" style="67" hidden="1" customWidth="1" outlineLevel="1"/>
    <col min="33" max="33" width="14.42578125" style="67" hidden="1" customWidth="1" outlineLevel="1"/>
    <col min="34" max="34" width="12.85546875" style="67" bestFit="1" customWidth="1" collapsed="1"/>
    <col min="35" max="35" width="12.85546875" style="67" bestFit="1" customWidth="1"/>
    <col min="36" max="36" width="6.85546875" style="67" bestFit="1" customWidth="1"/>
    <col min="37" max="37" width="2" style="74" customWidth="1"/>
    <col min="38" max="38" width="15" style="74" hidden="1" customWidth="1" outlineLevel="1"/>
    <col min="39" max="39" width="11.85546875" style="67" hidden="1" customWidth="1" outlineLevel="1"/>
    <col min="40" max="40" width="12.28515625" style="67" bestFit="1" customWidth="1" collapsed="1"/>
    <col min="41" max="41" width="6.42578125" style="67" customWidth="1"/>
    <col min="42" max="42" width="8.42578125" style="67" bestFit="1" customWidth="1"/>
    <col min="43" max="16384" width="11" style="67"/>
  </cols>
  <sheetData>
    <row r="2" spans="2:42" ht="18">
      <c r="B2" s="205" t="s">
        <v>137</v>
      </c>
    </row>
    <row r="3" spans="2:42" ht="20.25">
      <c r="B3" s="206" t="s">
        <v>141</v>
      </c>
    </row>
    <row r="5" spans="2:42">
      <c r="B5" s="128" t="s">
        <v>38</v>
      </c>
      <c r="C5" s="252" t="s">
        <v>105</v>
      </c>
      <c r="D5" s="253"/>
    </row>
    <row r="6" spans="2:42">
      <c r="B6" s="67"/>
      <c r="F6" s="244" t="s">
        <v>100</v>
      </c>
      <c r="G6" s="245"/>
      <c r="H6" s="245"/>
      <c r="I6" s="245"/>
      <c r="J6" s="245"/>
      <c r="K6" s="245"/>
      <c r="L6" s="245"/>
      <c r="M6" s="245"/>
      <c r="N6" s="245"/>
      <c r="O6" s="245"/>
      <c r="P6" s="245"/>
      <c r="Q6" s="245"/>
      <c r="R6" s="246"/>
      <c r="U6" s="247" t="s">
        <v>101</v>
      </c>
      <c r="V6" s="248"/>
      <c r="W6" s="248"/>
      <c r="X6" s="248"/>
      <c r="Y6" s="248"/>
      <c r="Z6" s="248"/>
      <c r="AA6" s="248"/>
      <c r="AB6" s="248"/>
      <c r="AC6" s="248"/>
      <c r="AD6" s="248"/>
      <c r="AE6" s="248"/>
      <c r="AF6" s="248"/>
      <c r="AG6" s="248"/>
      <c r="AH6" s="248"/>
      <c r="AI6" s="248"/>
      <c r="AJ6" s="249"/>
    </row>
    <row r="7" spans="2:42">
      <c r="F7" s="260" t="s">
        <v>107</v>
      </c>
      <c r="G7" s="261"/>
      <c r="H7" s="261"/>
      <c r="I7" s="261"/>
      <c r="J7" s="262"/>
      <c r="K7" s="254" t="s">
        <v>96</v>
      </c>
      <c r="L7" s="255"/>
      <c r="M7" s="255"/>
      <c r="N7" s="255"/>
      <c r="O7" s="255"/>
      <c r="P7" s="256"/>
      <c r="Q7" s="254" t="s">
        <v>99</v>
      </c>
      <c r="R7" s="256"/>
      <c r="U7" s="240" t="s">
        <v>107</v>
      </c>
      <c r="V7" s="241"/>
      <c r="W7" s="241"/>
      <c r="X7" s="241"/>
      <c r="Y7" s="242"/>
      <c r="Z7" s="240" t="s">
        <v>133</v>
      </c>
      <c r="AA7" s="242"/>
      <c r="AB7" s="240" t="s">
        <v>104</v>
      </c>
      <c r="AC7" s="241"/>
      <c r="AD7" s="241"/>
      <c r="AE7" s="241"/>
      <c r="AF7" s="241"/>
      <c r="AG7" s="241"/>
      <c r="AH7" s="242"/>
      <c r="AI7" s="240" t="s">
        <v>99</v>
      </c>
      <c r="AJ7" s="242"/>
    </row>
    <row r="8" spans="2:42">
      <c r="B8" s="68" t="s">
        <v>86</v>
      </c>
      <c r="C8" s="69" t="s">
        <v>38</v>
      </c>
      <c r="D8" s="70" t="s">
        <v>88</v>
      </c>
      <c r="E8" s="258" t="s">
        <v>89</v>
      </c>
      <c r="F8" s="142" t="s">
        <v>54</v>
      </c>
      <c r="G8" s="82" t="s">
        <v>91</v>
      </c>
      <c r="H8" s="85" t="s">
        <v>54</v>
      </c>
      <c r="I8" s="85" t="s">
        <v>91</v>
      </c>
      <c r="J8" s="86" t="s">
        <v>92</v>
      </c>
      <c r="K8" s="142" t="s">
        <v>78</v>
      </c>
      <c r="L8" s="82" t="s">
        <v>50</v>
      </c>
      <c r="M8" s="82" t="s">
        <v>91</v>
      </c>
      <c r="N8" s="82" t="s">
        <v>50</v>
      </c>
      <c r="O8" s="82" t="s">
        <v>91</v>
      </c>
      <c r="P8" s="143" t="s">
        <v>92</v>
      </c>
      <c r="Q8" s="238" t="s">
        <v>98</v>
      </c>
      <c r="R8" s="239"/>
      <c r="U8" s="145" t="s">
        <v>54</v>
      </c>
      <c r="V8" s="91" t="s">
        <v>91</v>
      </c>
      <c r="W8" s="92" t="s">
        <v>54</v>
      </c>
      <c r="X8" s="92" t="s">
        <v>91</v>
      </c>
      <c r="Y8" s="93" t="s">
        <v>92</v>
      </c>
      <c r="Z8" s="198"/>
      <c r="AA8" s="197" t="s">
        <v>92</v>
      </c>
      <c r="AB8" s="145" t="s">
        <v>90</v>
      </c>
      <c r="AC8" s="91" t="s">
        <v>50</v>
      </c>
      <c r="AD8" s="91" t="s">
        <v>91</v>
      </c>
      <c r="AE8" s="91" t="s">
        <v>90</v>
      </c>
      <c r="AF8" s="91" t="s">
        <v>50</v>
      </c>
      <c r="AG8" s="91" t="s">
        <v>91</v>
      </c>
      <c r="AH8" s="146" t="s">
        <v>92</v>
      </c>
      <c r="AI8" s="250" t="s">
        <v>98</v>
      </c>
      <c r="AJ8" s="251"/>
      <c r="AK8" s="67"/>
      <c r="AL8" s="102" t="s">
        <v>107</v>
      </c>
      <c r="AM8" s="102" t="s">
        <v>96</v>
      </c>
      <c r="AN8" s="243" t="s">
        <v>92</v>
      </c>
      <c r="AO8" s="243"/>
    </row>
    <row r="9" spans="2:42" s="74" customFormat="1">
      <c r="B9" s="71" t="s">
        <v>87</v>
      </c>
      <c r="C9" s="72" t="s">
        <v>53</v>
      </c>
      <c r="D9" s="73" t="s">
        <v>37</v>
      </c>
      <c r="E9" s="259"/>
      <c r="F9" s="73" t="s">
        <v>58</v>
      </c>
      <c r="G9" s="73" t="s">
        <v>12</v>
      </c>
      <c r="H9" s="77" t="s">
        <v>93</v>
      </c>
      <c r="I9" s="77" t="s">
        <v>93</v>
      </c>
      <c r="J9" s="77" t="s">
        <v>93</v>
      </c>
      <c r="K9" s="73" t="s">
        <v>79</v>
      </c>
      <c r="L9" s="73" t="s">
        <v>97</v>
      </c>
      <c r="M9" s="73" t="s">
        <v>12</v>
      </c>
      <c r="N9" s="73" t="s">
        <v>93</v>
      </c>
      <c r="O9" s="73" t="s">
        <v>93</v>
      </c>
      <c r="P9" s="73" t="s">
        <v>93</v>
      </c>
      <c r="Q9" s="73" t="s">
        <v>93</v>
      </c>
      <c r="R9" s="73" t="s">
        <v>12</v>
      </c>
      <c r="T9" s="137" t="s">
        <v>89</v>
      </c>
      <c r="U9" s="73" t="s">
        <v>58</v>
      </c>
      <c r="V9" s="73" t="s">
        <v>113</v>
      </c>
      <c r="W9" s="77" t="s">
        <v>93</v>
      </c>
      <c r="X9" s="77" t="s">
        <v>93</v>
      </c>
      <c r="Y9" s="77" t="s">
        <v>93</v>
      </c>
      <c r="Z9" s="73" t="s">
        <v>12</v>
      </c>
      <c r="AA9" s="77" t="s">
        <v>93</v>
      </c>
      <c r="AB9" s="73" t="s">
        <v>58</v>
      </c>
      <c r="AC9" s="73" t="s">
        <v>97</v>
      </c>
      <c r="AD9" s="73" t="s">
        <v>12</v>
      </c>
      <c r="AE9" s="73" t="s">
        <v>93</v>
      </c>
      <c r="AF9" s="73" t="s">
        <v>93</v>
      </c>
      <c r="AG9" s="73" t="s">
        <v>93</v>
      </c>
      <c r="AH9" s="73" t="s">
        <v>93</v>
      </c>
      <c r="AI9" s="73" t="s">
        <v>93</v>
      </c>
      <c r="AJ9" s="73" t="s">
        <v>12</v>
      </c>
      <c r="AL9" s="101" t="s">
        <v>102</v>
      </c>
      <c r="AM9" s="101" t="s">
        <v>102</v>
      </c>
      <c r="AN9" s="103" t="s">
        <v>103</v>
      </c>
      <c r="AO9" s="104" t="s">
        <v>53</v>
      </c>
      <c r="AP9" s="191" t="s">
        <v>126</v>
      </c>
    </row>
    <row r="10" spans="2:42">
      <c r="B10" s="111">
        <v>0.5</v>
      </c>
      <c r="C10" s="112">
        <f>IF($C$5&lt;&gt;"Memoria CNMC",$C$5,IF(B10&gt;'Tipología Clientes'!$C$16,'Tipología Clientes'!$L$16,IF(B10&gt;'Tipología Clientes'!$C$15,'Tipología Clientes'!$L$15,IF(B10&gt;'Tipología Clientes'!$C$14,'Tipología Clientes'!$L$14,IF(B10&gt;'Tipología Clientes'!$C$13,'Tipología Clientes'!$L$13,IF(B10&gt;'Tipología Clientes'!$C$12,'Tipología Clientes'!$L$12,IF(B10&gt;'Tipología Clientes'!$C$11,'Tipología Clientes'!$L$11,IF(B10&gt;'Tipología Clientes'!$C$10,'Tipología Clientes'!$L$10,IF(B10&gt;'Tipología Clientes'!$C$9,'Tipología Clientes'!$L$9,IF(B10&gt;'Tipología Clientes'!$C$8,'Tipología Clientes'!$L$8,IF(B10&gt;'Tipología Clientes'!$C$7,'Tipología Clientes'!$L$7,'Tipología Clientes'!$L$6)))))))))))</f>
        <v>0.41011804141973951</v>
      </c>
      <c r="D10" s="113">
        <f>B10/365/C10</f>
        <v>3.3401676477251823E-3</v>
      </c>
      <c r="E10" s="76" t="str">
        <f>IF(B10&gt;'Peajes Actuales'!$C$14,'Peajes Actuales'!$B$14,IF(B10&gt;'Peajes Actuales'!$C$13,'Peajes Actuales'!$B$13,IF(B10&gt;'Peajes Actuales'!$C$12,'Peajes Actuales'!$B$12,'Peajes Actuales'!$B$11)))</f>
        <v>3.1</v>
      </c>
      <c r="F10" s="88">
        <f>'Peajes Actuales'!$H$36</f>
        <v>28.805999999999997</v>
      </c>
      <c r="G10" s="88">
        <f>'Peajes Actuales'!$I$36</f>
        <v>0.17100000000000001</v>
      </c>
      <c r="H10" s="123">
        <f>D10*F10*12</f>
        <v>1.1546024311244591</v>
      </c>
      <c r="I10" s="123">
        <f>B10*G10</f>
        <v>8.5500000000000007E-2</v>
      </c>
      <c r="J10" s="122">
        <f>H10+I10</f>
        <v>1.2401024311244591</v>
      </c>
      <c r="K10" s="88">
        <f>VLOOKUP(E10,'Peajes Actuales'!$B$11:$L$14,11,FALSE)</f>
        <v>0.61199999999999999</v>
      </c>
      <c r="L10" s="87">
        <f>VLOOKUP(E10,'Peajes Actuales'!$B$11:$J$14,8,FALSE)*K10</f>
        <v>1.54836</v>
      </c>
      <c r="M10" s="90">
        <f>VLOOKUP(E10,'Peajes Actuales'!$B$11:$J$14,9,FALSE)*K10</f>
        <v>17.923643999999999</v>
      </c>
      <c r="N10" s="123">
        <f>L10*12</f>
        <v>18.58032</v>
      </c>
      <c r="O10" s="123">
        <f t="shared" ref="O10:O16" si="0">B10*M10</f>
        <v>8.9618219999999997</v>
      </c>
      <c r="P10" s="122">
        <f>SUM(N10:O10)</f>
        <v>27.542141999999998</v>
      </c>
      <c r="Q10" s="124">
        <f>J10+P10</f>
        <v>28.782244431124457</v>
      </c>
      <c r="R10" s="79">
        <f t="shared" ref="R10:R16" si="1">Q10/B10</f>
        <v>57.564488862248915</v>
      </c>
      <c r="T10" s="76" t="str">
        <f>IF(B10&gt;'Peajes Circular CNMC'!$C$23,'Peajes Circular CNMC'!$B$23,IF(B10&gt;'Peajes Circular CNMC'!$C$22,'Peajes Circular CNMC'!$B$22,IF(B10&gt;'Peajes Circular CNMC'!$C$21,'Peajes Circular CNMC'!$B$21,IF(B10&gt;'Peajes Circular CNMC'!$C$20,'Peajes Circular CNMC'!$B$20,IF(B10&gt;'Peajes Circular CNMC'!$C$19,'Peajes Circular CNMC'!$B$19,IF(B10&gt;'Peajes Circular CNMC'!$C$18,'Peajes Circular CNMC'!$B$18,IF(B10&gt;'Peajes Circular CNMC'!$C$17,'Peajes Circular CNMC'!$B$17,IF(B10&gt;'Peajes Circular CNMC'!$C$16,'Peajes Circular CNMC'!$B$16,IF(B10&gt;'Peajes Circular CNMC'!$C$15,'Peajes Circular CNMC'!$B$15,IF(B10&gt;'Peajes Circular CNMC'!$C$14,'Peajes Circular CNMC'!$B$14,'Peajes Circular CNMC'!$B$13))))))))))</f>
        <v>D.1</v>
      </c>
      <c r="U10" s="96">
        <f>'Peajes Circular CNMC'!$H$42</f>
        <v>26.201279999999997</v>
      </c>
      <c r="V10" s="88">
        <f>'Peajes Circular CNMC'!$I$42</f>
        <v>0.11939999999999999</v>
      </c>
      <c r="W10" s="123">
        <f t="shared" ref="W10:W35" si="2">12*U10*D10</f>
        <v>1.0502000134198664</v>
      </c>
      <c r="X10" s="123">
        <f t="shared" ref="X10:X35" si="3">V10*B10</f>
        <v>5.9699999999999996E-2</v>
      </c>
      <c r="Y10" s="122">
        <f>W10+X10</f>
        <v>1.1099000134198664</v>
      </c>
      <c r="Z10" s="88">
        <f>'Peajes Circular CNMC'!$H$35</f>
        <v>0.26106499999999999</v>
      </c>
      <c r="AA10" s="122">
        <f>B10*Z10</f>
        <v>0.1305325</v>
      </c>
      <c r="AB10" s="98">
        <f>VLOOKUP(T10,'Peajes Circular CNMC'!$B$13:$J$23,7,FALSE)</f>
        <v>0</v>
      </c>
      <c r="AC10" s="87">
        <f>VLOOKUP(T10,'Peajes Circular CNMC'!$B$13:$J$23,8,FALSE)</f>
        <v>0.51300000000000001</v>
      </c>
      <c r="AD10" s="87">
        <f>VLOOKUP(T10,'Peajes Circular CNMC'!$B$13:$J$23,9,FALSE)</f>
        <v>15.61</v>
      </c>
      <c r="AE10" s="123">
        <f t="shared" ref="AE10:AE35" si="4">12*AB10*D10</f>
        <v>0</v>
      </c>
      <c r="AF10" s="123">
        <f>12*AC10</f>
        <v>6.1560000000000006</v>
      </c>
      <c r="AG10" s="123">
        <f t="shared" ref="AG10:AG35" si="5">AD10*B10</f>
        <v>7.8049999999999997</v>
      </c>
      <c r="AH10" s="122">
        <f>AE10+AF10+AG10</f>
        <v>13.961</v>
      </c>
      <c r="AI10" s="124">
        <f>Y10+AA10+AH10</f>
        <v>15.201432513419867</v>
      </c>
      <c r="AJ10" s="79">
        <f t="shared" ref="AJ10:AJ35" si="6">AI10/B10</f>
        <v>30.402865026839734</v>
      </c>
      <c r="AK10" s="67"/>
      <c r="AL10" s="75">
        <f t="shared" ref="AL10:AL35" si="7">(Y10-J10)/J10</f>
        <v>-0.1049932767138695</v>
      </c>
      <c r="AM10" s="100">
        <f t="shared" ref="AM10:AM35" si="8">(AH10-P10)/P10</f>
        <v>-0.49310405850060607</v>
      </c>
      <c r="AN10" s="125">
        <f t="shared" ref="AN10:AN35" si="9">AI10-Q10</f>
        <v>-13.58081191770459</v>
      </c>
      <c r="AO10" s="100">
        <f t="shared" ref="AO10:AO35" si="10">AN10/Q10</f>
        <v>-0.47184686900298201</v>
      </c>
      <c r="AP10" s="192">
        <f>AJ10-R10</f>
        <v>-27.161623835409181</v>
      </c>
    </row>
    <row r="11" spans="2:42">
      <c r="B11" s="111">
        <v>1</v>
      </c>
      <c r="C11" s="112">
        <f>IF($C$5&lt;&gt;"Memoria CNMC",$C$5,IF(B11&gt;'Tipología Clientes'!$C$16,'Tipología Clientes'!$L$16,IF(B11&gt;'Tipología Clientes'!$C$15,'Tipología Clientes'!$L$15,IF(B11&gt;'Tipología Clientes'!$C$14,'Tipología Clientes'!$L$14,IF(B11&gt;'Tipología Clientes'!$C$13,'Tipología Clientes'!$L$13,IF(B11&gt;'Tipología Clientes'!$C$12,'Tipología Clientes'!$L$12,IF(B11&gt;'Tipología Clientes'!$C$11,'Tipología Clientes'!$L$11,IF(B11&gt;'Tipología Clientes'!$C$10,'Tipología Clientes'!$L$10,IF(B11&gt;'Tipología Clientes'!$C$9,'Tipología Clientes'!$L$9,IF(B11&gt;'Tipología Clientes'!$C$8,'Tipología Clientes'!$L$8,IF(B11&gt;'Tipología Clientes'!$C$7,'Tipología Clientes'!$L$7,'Tipología Clientes'!$L$6)))))))))))</f>
        <v>0.41011804141973951</v>
      </c>
      <c r="D11" s="113">
        <f t="shared" ref="D11:D16" si="11">B11/365/C11</f>
        <v>6.6803352954503646E-3</v>
      </c>
      <c r="E11" s="76" t="str">
        <f>IF(B11&gt;'Peajes Actuales'!$C$14,'Peajes Actuales'!$B$14,IF(B11&gt;'Peajes Actuales'!$C$13,'Peajes Actuales'!$B$13,IF(B11&gt;'Peajes Actuales'!$C$12,'Peajes Actuales'!$B$12,'Peajes Actuales'!$B$11)))</f>
        <v>3.1</v>
      </c>
      <c r="F11" s="88">
        <f>'Peajes Actuales'!$H$36</f>
        <v>28.805999999999997</v>
      </c>
      <c r="G11" s="88">
        <f>'Peajes Actuales'!$I$36</f>
        <v>0.17100000000000001</v>
      </c>
      <c r="H11" s="123">
        <f t="shared" ref="H11:H16" si="12">D11*F11*12</f>
        <v>2.3092048622489183</v>
      </c>
      <c r="I11" s="123">
        <f t="shared" ref="I11:I16" si="13">B11*G11</f>
        <v>0.17100000000000001</v>
      </c>
      <c r="J11" s="122">
        <f t="shared" ref="J11:J16" si="14">H11+I11</f>
        <v>2.4802048622489181</v>
      </c>
      <c r="K11" s="88">
        <f>VLOOKUP(E11,'Peajes Actuales'!$B$11:$L$14,11,FALSE)</f>
        <v>0.61199999999999999</v>
      </c>
      <c r="L11" s="87">
        <f>VLOOKUP(E11,'Peajes Actuales'!$B$11:$J$14,8,FALSE)*K11</f>
        <v>1.54836</v>
      </c>
      <c r="M11" s="90">
        <f>VLOOKUP(E11,'Peajes Actuales'!$B$11:$J$14,9,FALSE)*K11</f>
        <v>17.923643999999999</v>
      </c>
      <c r="N11" s="123">
        <f t="shared" ref="N11:N16" si="15">L11*12</f>
        <v>18.58032</v>
      </c>
      <c r="O11" s="123">
        <f t="shared" si="0"/>
        <v>17.923643999999999</v>
      </c>
      <c r="P11" s="122">
        <f t="shared" ref="P11:P16" si="16">SUM(N11:O11)</f>
        <v>36.503963999999996</v>
      </c>
      <c r="Q11" s="124">
        <f t="shared" ref="Q11:Q16" si="17">J11+P11</f>
        <v>38.984168862248914</v>
      </c>
      <c r="R11" s="79">
        <f t="shared" si="1"/>
        <v>38.984168862248914</v>
      </c>
      <c r="T11" s="76" t="str">
        <f>IF(B11&gt;'Peajes Circular CNMC'!$C$23,'Peajes Circular CNMC'!$B$23,IF(B11&gt;'Peajes Circular CNMC'!$C$22,'Peajes Circular CNMC'!$B$22,IF(B11&gt;'Peajes Circular CNMC'!$C$21,'Peajes Circular CNMC'!$B$21,IF(B11&gt;'Peajes Circular CNMC'!$C$20,'Peajes Circular CNMC'!$B$20,IF(B11&gt;'Peajes Circular CNMC'!$C$19,'Peajes Circular CNMC'!$B$19,IF(B11&gt;'Peajes Circular CNMC'!$C$18,'Peajes Circular CNMC'!$B$18,IF(B11&gt;'Peajes Circular CNMC'!$C$17,'Peajes Circular CNMC'!$B$17,IF(B11&gt;'Peajes Circular CNMC'!$C$16,'Peajes Circular CNMC'!$B$16,IF(B11&gt;'Peajes Circular CNMC'!$C$15,'Peajes Circular CNMC'!$B$15,IF(B11&gt;'Peajes Circular CNMC'!$C$14,'Peajes Circular CNMC'!$B$14,'Peajes Circular CNMC'!$B$13))))))))))</f>
        <v>D.1</v>
      </c>
      <c r="U11" s="96">
        <f>'Peajes Circular CNMC'!$H$42</f>
        <v>26.201279999999997</v>
      </c>
      <c r="V11" s="88">
        <f>'Peajes Circular CNMC'!$I$42</f>
        <v>0.11939999999999999</v>
      </c>
      <c r="W11" s="123">
        <f t="shared" si="2"/>
        <v>2.1004000268397327</v>
      </c>
      <c r="X11" s="123">
        <f t="shared" si="3"/>
        <v>0.11939999999999999</v>
      </c>
      <c r="Y11" s="122">
        <f t="shared" ref="Y11:Y35" si="18">W11+X11</f>
        <v>2.2198000268397329</v>
      </c>
      <c r="Z11" s="88">
        <f>'Peajes Circular CNMC'!$H$35</f>
        <v>0.26106499999999999</v>
      </c>
      <c r="AA11" s="122">
        <f t="shared" ref="AA11:AA35" si="19">B11*Z11</f>
        <v>0.26106499999999999</v>
      </c>
      <c r="AB11" s="98">
        <f>VLOOKUP(T11,'Peajes Circular CNMC'!$B$13:$J$23,7,FALSE)</f>
        <v>0</v>
      </c>
      <c r="AC11" s="87">
        <f>VLOOKUP(T11,'Peajes Circular CNMC'!$B$13:$J$23,8,FALSE)</f>
        <v>0.51300000000000001</v>
      </c>
      <c r="AD11" s="87">
        <f>VLOOKUP(T11,'Peajes Circular CNMC'!$B$13:$J$23,9,FALSE)</f>
        <v>15.61</v>
      </c>
      <c r="AE11" s="123">
        <f t="shared" si="4"/>
        <v>0</v>
      </c>
      <c r="AF11" s="123">
        <f t="shared" ref="AF11:AF35" si="20">12*AC11</f>
        <v>6.1560000000000006</v>
      </c>
      <c r="AG11" s="123">
        <f t="shared" si="5"/>
        <v>15.61</v>
      </c>
      <c r="AH11" s="122">
        <f t="shared" ref="AH11:AH35" si="21">AE11+AF11+AG11</f>
        <v>21.765999999999998</v>
      </c>
      <c r="AI11" s="124">
        <f t="shared" ref="AI11:AI35" si="22">Y11+AA11+AH11</f>
        <v>24.246865026839732</v>
      </c>
      <c r="AJ11" s="79">
        <f t="shared" si="6"/>
        <v>24.246865026839732</v>
      </c>
      <c r="AK11" s="67"/>
      <c r="AL11" s="75">
        <f t="shared" si="7"/>
        <v>-0.1049932767138695</v>
      </c>
      <c r="AM11" s="100">
        <f t="shared" si="8"/>
        <v>-0.40373598878193062</v>
      </c>
      <c r="AN11" s="125">
        <f t="shared" si="9"/>
        <v>-14.737303835409183</v>
      </c>
      <c r="AO11" s="100">
        <f t="shared" si="10"/>
        <v>-0.3780330391930028</v>
      </c>
      <c r="AP11" s="192">
        <f t="shared" ref="AP11:AP35" si="23">AJ11-R11</f>
        <v>-14.737303835409183</v>
      </c>
    </row>
    <row r="12" spans="2:42">
      <c r="B12" s="111">
        <v>1.5</v>
      </c>
      <c r="C12" s="112">
        <f>IF($C$5&lt;&gt;"Memoria CNMC",$C$5,IF(B12&gt;'Tipología Clientes'!$C$16,'Tipología Clientes'!$L$16,IF(B12&gt;'Tipología Clientes'!$C$15,'Tipología Clientes'!$L$15,IF(B12&gt;'Tipología Clientes'!$C$14,'Tipología Clientes'!$L$14,IF(B12&gt;'Tipología Clientes'!$C$13,'Tipología Clientes'!$L$13,IF(B12&gt;'Tipología Clientes'!$C$12,'Tipología Clientes'!$L$12,IF(B12&gt;'Tipología Clientes'!$C$11,'Tipología Clientes'!$L$11,IF(B12&gt;'Tipología Clientes'!$C$10,'Tipología Clientes'!$L$10,IF(B12&gt;'Tipología Clientes'!$C$9,'Tipología Clientes'!$L$9,IF(B12&gt;'Tipología Clientes'!$C$8,'Tipología Clientes'!$L$8,IF(B12&gt;'Tipología Clientes'!$C$7,'Tipología Clientes'!$L$7,'Tipología Clientes'!$L$6)))))))))))</f>
        <v>0.41011804141973951</v>
      </c>
      <c r="D12" s="113">
        <f t="shared" si="11"/>
        <v>1.0020502943175545E-2</v>
      </c>
      <c r="E12" s="76" t="str">
        <f>IF(B12&gt;'Peajes Actuales'!$C$14,'Peajes Actuales'!$B$14,IF(B12&gt;'Peajes Actuales'!$C$13,'Peajes Actuales'!$B$13,IF(B12&gt;'Peajes Actuales'!$C$12,'Peajes Actuales'!$B$12,'Peajes Actuales'!$B$11)))</f>
        <v>3.1</v>
      </c>
      <c r="F12" s="88">
        <f>'Peajes Actuales'!$H$36</f>
        <v>28.805999999999997</v>
      </c>
      <c r="G12" s="88">
        <f>'Peajes Actuales'!$I$36</f>
        <v>0.17100000000000001</v>
      </c>
      <c r="H12" s="123">
        <f t="shared" si="12"/>
        <v>3.4638072933733768</v>
      </c>
      <c r="I12" s="123">
        <f t="shared" si="13"/>
        <v>0.25650000000000001</v>
      </c>
      <c r="J12" s="122">
        <f t="shared" si="14"/>
        <v>3.7203072933733767</v>
      </c>
      <c r="K12" s="88">
        <f>VLOOKUP(E12,'Peajes Actuales'!$B$11:$L$14,11,FALSE)</f>
        <v>0.61199999999999999</v>
      </c>
      <c r="L12" s="87">
        <f>VLOOKUP(E12,'Peajes Actuales'!$B$11:$J$14,8,FALSE)*K12</f>
        <v>1.54836</v>
      </c>
      <c r="M12" s="90">
        <f>VLOOKUP(E12,'Peajes Actuales'!$B$11:$J$14,9,FALSE)*K12</f>
        <v>17.923643999999999</v>
      </c>
      <c r="N12" s="123">
        <f t="shared" si="15"/>
        <v>18.58032</v>
      </c>
      <c r="O12" s="123">
        <f t="shared" si="0"/>
        <v>26.885466000000001</v>
      </c>
      <c r="P12" s="122">
        <f t="shared" si="16"/>
        <v>45.465786000000001</v>
      </c>
      <c r="Q12" s="124">
        <f t="shared" si="17"/>
        <v>49.186093293373375</v>
      </c>
      <c r="R12" s="79">
        <f t="shared" si="1"/>
        <v>32.790728862248919</v>
      </c>
      <c r="T12" s="76" t="str">
        <f>IF(B12&gt;'Peajes Circular CNMC'!$C$23,'Peajes Circular CNMC'!$B$23,IF(B12&gt;'Peajes Circular CNMC'!$C$22,'Peajes Circular CNMC'!$B$22,IF(B12&gt;'Peajes Circular CNMC'!$C$21,'Peajes Circular CNMC'!$B$21,IF(B12&gt;'Peajes Circular CNMC'!$C$20,'Peajes Circular CNMC'!$B$20,IF(B12&gt;'Peajes Circular CNMC'!$C$19,'Peajes Circular CNMC'!$B$19,IF(B12&gt;'Peajes Circular CNMC'!$C$18,'Peajes Circular CNMC'!$B$18,IF(B12&gt;'Peajes Circular CNMC'!$C$17,'Peajes Circular CNMC'!$B$17,IF(B12&gt;'Peajes Circular CNMC'!$C$16,'Peajes Circular CNMC'!$B$16,IF(B12&gt;'Peajes Circular CNMC'!$C$15,'Peajes Circular CNMC'!$B$15,IF(B12&gt;'Peajes Circular CNMC'!$C$14,'Peajes Circular CNMC'!$B$14,'Peajes Circular CNMC'!$B$13))))))))))</f>
        <v>D.1</v>
      </c>
      <c r="U12" s="96">
        <f>'Peajes Circular CNMC'!$H$42</f>
        <v>26.201279999999997</v>
      </c>
      <c r="V12" s="88">
        <f>'Peajes Circular CNMC'!$I$42</f>
        <v>0.11939999999999999</v>
      </c>
      <c r="W12" s="123">
        <f t="shared" si="2"/>
        <v>3.1506000402595982</v>
      </c>
      <c r="X12" s="123">
        <f t="shared" si="3"/>
        <v>0.17909999999999998</v>
      </c>
      <c r="Y12" s="122">
        <f t="shared" si="18"/>
        <v>3.3297000402595982</v>
      </c>
      <c r="Z12" s="88">
        <f>'Peajes Circular CNMC'!$H$35</f>
        <v>0.26106499999999999</v>
      </c>
      <c r="AA12" s="122">
        <f t="shared" si="19"/>
        <v>0.39159749999999999</v>
      </c>
      <c r="AB12" s="98">
        <f>VLOOKUP(T12,'Peajes Circular CNMC'!$B$13:$J$23,7,FALSE)</f>
        <v>0</v>
      </c>
      <c r="AC12" s="87">
        <f>VLOOKUP(T12,'Peajes Circular CNMC'!$B$13:$J$23,8,FALSE)</f>
        <v>0.51300000000000001</v>
      </c>
      <c r="AD12" s="87">
        <f>VLOOKUP(T12,'Peajes Circular CNMC'!$B$13:$J$23,9,FALSE)</f>
        <v>15.61</v>
      </c>
      <c r="AE12" s="123">
        <f t="shared" si="4"/>
        <v>0</v>
      </c>
      <c r="AF12" s="123">
        <f t="shared" si="20"/>
        <v>6.1560000000000006</v>
      </c>
      <c r="AG12" s="123">
        <f t="shared" si="5"/>
        <v>23.414999999999999</v>
      </c>
      <c r="AH12" s="122">
        <f t="shared" si="21"/>
        <v>29.570999999999998</v>
      </c>
      <c r="AI12" s="124">
        <f t="shared" si="22"/>
        <v>33.292297540259597</v>
      </c>
      <c r="AJ12" s="79">
        <f t="shared" si="6"/>
        <v>22.194865026839732</v>
      </c>
      <c r="AK12" s="67"/>
      <c r="AL12" s="75">
        <f t="shared" si="7"/>
        <v>-0.1049932767138697</v>
      </c>
      <c r="AM12" s="100">
        <f t="shared" si="8"/>
        <v>-0.34959883900390509</v>
      </c>
      <c r="AN12" s="125">
        <f t="shared" si="9"/>
        <v>-15.893795753113778</v>
      </c>
      <c r="AO12" s="100">
        <f t="shared" si="10"/>
        <v>-0.32313596565424069</v>
      </c>
      <c r="AP12" s="192">
        <f t="shared" si="23"/>
        <v>-10.595863835409187</v>
      </c>
    </row>
    <row r="13" spans="2:42">
      <c r="B13" s="110">
        <v>3</v>
      </c>
      <c r="C13" s="112">
        <f>IF($C$5&lt;&gt;"Memoria CNMC",$C$5,IF(B13&gt;'Tipología Clientes'!$C$16,'Tipología Clientes'!$L$16,IF(B13&gt;'Tipología Clientes'!$C$15,'Tipología Clientes'!$L$15,IF(B13&gt;'Tipología Clientes'!$C$14,'Tipología Clientes'!$L$14,IF(B13&gt;'Tipología Clientes'!$C$13,'Tipología Clientes'!$L$13,IF(B13&gt;'Tipología Clientes'!$C$12,'Tipología Clientes'!$L$12,IF(B13&gt;'Tipología Clientes'!$C$11,'Tipología Clientes'!$L$11,IF(B13&gt;'Tipología Clientes'!$C$10,'Tipología Clientes'!$L$10,IF(B13&gt;'Tipología Clientes'!$C$9,'Tipología Clientes'!$L$9,IF(B13&gt;'Tipología Clientes'!$C$8,'Tipología Clientes'!$L$8,IF(B13&gt;'Tipología Clientes'!$C$7,'Tipología Clientes'!$L$7,'Tipología Clientes'!$L$6)))))))))))</f>
        <v>0.41011804141973951</v>
      </c>
      <c r="D13" s="113">
        <f t="shared" si="11"/>
        <v>2.004100588635109E-2</v>
      </c>
      <c r="E13" s="76" t="str">
        <f>IF(B13&gt;'Peajes Actuales'!$C$14,'Peajes Actuales'!$B$14,IF(B13&gt;'Peajes Actuales'!$C$13,'Peajes Actuales'!$B$13,IF(B13&gt;'Peajes Actuales'!$C$12,'Peajes Actuales'!$B$12,'Peajes Actuales'!$B$11)))</f>
        <v>3.1</v>
      </c>
      <c r="F13" s="88">
        <f>'Peajes Actuales'!$H$36</f>
        <v>28.805999999999997</v>
      </c>
      <c r="G13" s="88">
        <f>'Peajes Actuales'!$I$36</f>
        <v>0.17100000000000001</v>
      </c>
      <c r="H13" s="123">
        <f t="shared" si="12"/>
        <v>6.9276145867467536</v>
      </c>
      <c r="I13" s="123">
        <f t="shared" si="13"/>
        <v>0.51300000000000001</v>
      </c>
      <c r="J13" s="122">
        <f t="shared" si="14"/>
        <v>7.4406145867467535</v>
      </c>
      <c r="K13" s="88">
        <f>VLOOKUP(E13,'Peajes Actuales'!$B$11:$L$14,11,FALSE)</f>
        <v>0.61199999999999999</v>
      </c>
      <c r="L13" s="87">
        <f>VLOOKUP(E13,'Peajes Actuales'!$B$11:$J$14,8,FALSE)*K13</f>
        <v>1.54836</v>
      </c>
      <c r="M13" s="90">
        <f>VLOOKUP(E13,'Peajes Actuales'!$B$11:$J$14,9,FALSE)*K13</f>
        <v>17.923643999999999</v>
      </c>
      <c r="N13" s="123">
        <f t="shared" si="15"/>
        <v>18.58032</v>
      </c>
      <c r="O13" s="123">
        <f t="shared" si="0"/>
        <v>53.770932000000002</v>
      </c>
      <c r="P13" s="122">
        <f t="shared" si="16"/>
        <v>72.351252000000002</v>
      </c>
      <c r="Q13" s="124">
        <f t="shared" si="17"/>
        <v>79.79186658674675</v>
      </c>
      <c r="R13" s="79">
        <f t="shared" si="1"/>
        <v>26.597288862248917</v>
      </c>
      <c r="T13" s="76" t="str">
        <f>IF(B13&gt;'Peajes Circular CNMC'!$C$23,'Peajes Circular CNMC'!$B$23,IF(B13&gt;'Peajes Circular CNMC'!$C$22,'Peajes Circular CNMC'!$B$22,IF(B13&gt;'Peajes Circular CNMC'!$C$21,'Peajes Circular CNMC'!$B$21,IF(B13&gt;'Peajes Circular CNMC'!$C$20,'Peajes Circular CNMC'!$B$20,IF(B13&gt;'Peajes Circular CNMC'!$C$19,'Peajes Circular CNMC'!$B$19,IF(B13&gt;'Peajes Circular CNMC'!$C$18,'Peajes Circular CNMC'!$B$18,IF(B13&gt;'Peajes Circular CNMC'!$C$17,'Peajes Circular CNMC'!$B$17,IF(B13&gt;'Peajes Circular CNMC'!$C$16,'Peajes Circular CNMC'!$B$16,IF(B13&gt;'Peajes Circular CNMC'!$C$15,'Peajes Circular CNMC'!$B$15,IF(B13&gt;'Peajes Circular CNMC'!$C$14,'Peajes Circular CNMC'!$B$14,'Peajes Circular CNMC'!$B$13))))))))))</f>
        <v>D.1</v>
      </c>
      <c r="U13" s="96">
        <f>'Peajes Circular CNMC'!$H$42</f>
        <v>26.201279999999997</v>
      </c>
      <c r="V13" s="88">
        <f>'Peajes Circular CNMC'!$I$42</f>
        <v>0.11939999999999999</v>
      </c>
      <c r="W13" s="123">
        <f t="shared" si="2"/>
        <v>6.3012000805191963</v>
      </c>
      <c r="X13" s="123">
        <f t="shared" si="3"/>
        <v>0.35819999999999996</v>
      </c>
      <c r="Y13" s="122">
        <f t="shared" si="18"/>
        <v>6.6594000805191964</v>
      </c>
      <c r="Z13" s="88">
        <f>'Peajes Circular CNMC'!$H$35</f>
        <v>0.26106499999999999</v>
      </c>
      <c r="AA13" s="122">
        <f t="shared" si="19"/>
        <v>0.78319499999999997</v>
      </c>
      <c r="AB13" s="98">
        <f>VLOOKUP(T13,'Peajes Circular CNMC'!$B$13:$J$23,7,FALSE)</f>
        <v>0</v>
      </c>
      <c r="AC13" s="87">
        <f>VLOOKUP(T13,'Peajes Circular CNMC'!$B$13:$J$23,8,FALSE)</f>
        <v>0.51300000000000001</v>
      </c>
      <c r="AD13" s="87">
        <f>VLOOKUP(T13,'Peajes Circular CNMC'!$B$13:$J$23,9,FALSE)</f>
        <v>15.61</v>
      </c>
      <c r="AE13" s="123">
        <f t="shared" si="4"/>
        <v>0</v>
      </c>
      <c r="AF13" s="123">
        <f t="shared" si="20"/>
        <v>6.1560000000000006</v>
      </c>
      <c r="AG13" s="123">
        <f t="shared" si="5"/>
        <v>46.83</v>
      </c>
      <c r="AH13" s="122">
        <f t="shared" si="21"/>
        <v>52.985999999999997</v>
      </c>
      <c r="AI13" s="124">
        <f t="shared" si="22"/>
        <v>60.428595080519194</v>
      </c>
      <c r="AJ13" s="79">
        <f t="shared" si="6"/>
        <v>20.142865026839733</v>
      </c>
      <c r="AK13" s="67"/>
      <c r="AL13" s="75">
        <f t="shared" si="7"/>
        <v>-0.1049932767138697</v>
      </c>
      <c r="AM13" s="100">
        <f t="shared" si="8"/>
        <v>-0.2676560731803232</v>
      </c>
      <c r="AN13" s="125">
        <f t="shared" si="9"/>
        <v>-19.363271506227555</v>
      </c>
      <c r="AO13" s="100">
        <f t="shared" si="10"/>
        <v>-0.24267224636456558</v>
      </c>
      <c r="AP13" s="192">
        <f t="shared" si="23"/>
        <v>-6.4544238354091839</v>
      </c>
    </row>
    <row r="14" spans="2:42">
      <c r="B14" s="110">
        <v>5</v>
      </c>
      <c r="C14" s="112">
        <f>IF($C$5&lt;&gt;"Memoria CNMC",$C$5,IF(B14&gt;'Tipología Clientes'!$C$16,'Tipología Clientes'!$L$16,IF(B14&gt;'Tipología Clientes'!$C$15,'Tipología Clientes'!$L$15,IF(B14&gt;'Tipología Clientes'!$C$14,'Tipología Clientes'!$L$14,IF(B14&gt;'Tipología Clientes'!$C$13,'Tipología Clientes'!$L$13,IF(B14&gt;'Tipología Clientes'!$C$12,'Tipología Clientes'!$L$12,IF(B14&gt;'Tipología Clientes'!$C$11,'Tipología Clientes'!$L$11,IF(B14&gt;'Tipología Clientes'!$C$10,'Tipología Clientes'!$L$10,IF(B14&gt;'Tipología Clientes'!$C$9,'Tipología Clientes'!$L$9,IF(B14&gt;'Tipología Clientes'!$C$8,'Tipología Clientes'!$L$8,IF(B14&gt;'Tipología Clientes'!$C$7,'Tipología Clientes'!$L$7,'Tipología Clientes'!$L$6)))))))))))</f>
        <v>0.37354729180664842</v>
      </c>
      <c r="D14" s="113">
        <f t="shared" si="11"/>
        <v>3.6671742607832479E-2</v>
      </c>
      <c r="E14" s="76" t="str">
        <f>IF(B14&gt;'Peajes Actuales'!$C$14,'Peajes Actuales'!$B$14,IF(B14&gt;'Peajes Actuales'!$C$13,'Peajes Actuales'!$B$13,IF(B14&gt;'Peajes Actuales'!$C$12,'Peajes Actuales'!$B$12,'Peajes Actuales'!$B$11)))</f>
        <v>3.1</v>
      </c>
      <c r="F14" s="88">
        <f>'Peajes Actuales'!$H$36</f>
        <v>28.805999999999997</v>
      </c>
      <c r="G14" s="88">
        <f>'Peajes Actuales'!$I$36</f>
        <v>0.17100000000000001</v>
      </c>
      <c r="H14" s="123">
        <f t="shared" si="12"/>
        <v>12.676394610734668</v>
      </c>
      <c r="I14" s="123">
        <f t="shared" si="13"/>
        <v>0.85500000000000009</v>
      </c>
      <c r="J14" s="122">
        <f t="shared" si="14"/>
        <v>13.531394610734669</v>
      </c>
      <c r="K14" s="88">
        <f>VLOOKUP(E14,'Peajes Actuales'!$B$11:$L$14,11,FALSE)</f>
        <v>0.61199999999999999</v>
      </c>
      <c r="L14" s="87">
        <f>VLOOKUP(E14,'Peajes Actuales'!$B$11:$J$14,8,FALSE)*K14</f>
        <v>1.54836</v>
      </c>
      <c r="M14" s="90">
        <f>VLOOKUP(E14,'Peajes Actuales'!$B$11:$J$14,9,FALSE)*K14</f>
        <v>17.923643999999999</v>
      </c>
      <c r="N14" s="123">
        <f t="shared" si="15"/>
        <v>18.58032</v>
      </c>
      <c r="O14" s="123">
        <f t="shared" si="0"/>
        <v>89.618219999999994</v>
      </c>
      <c r="P14" s="122">
        <f t="shared" si="16"/>
        <v>108.19853999999999</v>
      </c>
      <c r="Q14" s="124">
        <f t="shared" si="17"/>
        <v>121.72993461073466</v>
      </c>
      <c r="R14" s="79">
        <f t="shared" si="1"/>
        <v>24.345986922146931</v>
      </c>
      <c r="T14" s="76" t="str">
        <f>IF(B14&gt;'Peajes Circular CNMC'!$C$23,'Peajes Circular CNMC'!$B$23,IF(B14&gt;'Peajes Circular CNMC'!$C$22,'Peajes Circular CNMC'!$B$22,IF(B14&gt;'Peajes Circular CNMC'!$C$21,'Peajes Circular CNMC'!$B$21,IF(B14&gt;'Peajes Circular CNMC'!$C$20,'Peajes Circular CNMC'!$B$20,IF(B14&gt;'Peajes Circular CNMC'!$C$19,'Peajes Circular CNMC'!$B$19,IF(B14&gt;'Peajes Circular CNMC'!$C$18,'Peajes Circular CNMC'!$B$18,IF(B14&gt;'Peajes Circular CNMC'!$C$17,'Peajes Circular CNMC'!$B$17,IF(B14&gt;'Peajes Circular CNMC'!$C$16,'Peajes Circular CNMC'!$B$16,IF(B14&gt;'Peajes Circular CNMC'!$C$15,'Peajes Circular CNMC'!$B$15,IF(B14&gt;'Peajes Circular CNMC'!$C$14,'Peajes Circular CNMC'!$B$14,'Peajes Circular CNMC'!$B$13))))))))))</f>
        <v>D.2</v>
      </c>
      <c r="U14" s="96">
        <f>'Peajes Circular CNMC'!$H$42</f>
        <v>26.201279999999997</v>
      </c>
      <c r="V14" s="88">
        <f>'Peajes Circular CNMC'!$I$42</f>
        <v>0.11939999999999999</v>
      </c>
      <c r="W14" s="123">
        <f t="shared" si="2"/>
        <v>11.530159153868986</v>
      </c>
      <c r="X14" s="123">
        <f t="shared" si="3"/>
        <v>0.59699999999999998</v>
      </c>
      <c r="Y14" s="122">
        <f t="shared" si="18"/>
        <v>12.127159153868986</v>
      </c>
      <c r="Z14" s="88">
        <f>'Peajes Circular CNMC'!$H$35</f>
        <v>0.26106499999999999</v>
      </c>
      <c r="AA14" s="122">
        <f t="shared" si="19"/>
        <v>1.3053249999999998</v>
      </c>
      <c r="AB14" s="98">
        <f>VLOOKUP(T14,'Peajes Circular CNMC'!$B$13:$J$23,7,FALSE)</f>
        <v>0</v>
      </c>
      <c r="AC14" s="87">
        <f>VLOOKUP(T14,'Peajes Circular CNMC'!$B$13:$J$23,8,FALSE)</f>
        <v>2.6749999999999998</v>
      </c>
      <c r="AD14" s="87">
        <f>VLOOKUP(T14,'Peajes Circular CNMC'!$B$13:$J$23,9,FALSE)</f>
        <v>16.984999999999999</v>
      </c>
      <c r="AE14" s="123">
        <f t="shared" si="4"/>
        <v>0</v>
      </c>
      <c r="AF14" s="123">
        <f t="shared" si="20"/>
        <v>32.099999999999994</v>
      </c>
      <c r="AG14" s="123">
        <f t="shared" si="5"/>
        <v>84.924999999999997</v>
      </c>
      <c r="AH14" s="122">
        <f t="shared" si="21"/>
        <v>117.02499999999999</v>
      </c>
      <c r="AI14" s="124">
        <f t="shared" si="22"/>
        <v>130.45748415386899</v>
      </c>
      <c r="AJ14" s="79">
        <f t="shared" si="6"/>
        <v>26.091496830773799</v>
      </c>
      <c r="AK14" s="67"/>
      <c r="AL14" s="75">
        <f t="shared" si="7"/>
        <v>-0.10377610713914742</v>
      </c>
      <c r="AM14" s="100">
        <f t="shared" si="8"/>
        <v>8.1576516651703415E-2</v>
      </c>
      <c r="AN14" s="125">
        <f t="shared" si="9"/>
        <v>8.7275495431343302</v>
      </c>
      <c r="AO14" s="100">
        <f t="shared" si="10"/>
        <v>7.1696001242776461E-2</v>
      </c>
      <c r="AP14" s="192">
        <f t="shared" si="23"/>
        <v>1.7455099086268682</v>
      </c>
    </row>
    <row r="15" spans="2:42">
      <c r="B15" s="105">
        <v>10</v>
      </c>
      <c r="C15" s="112">
        <f>IF($C$5&lt;&gt;"Memoria CNMC",$C$5,IF(B15&gt;'Tipología Clientes'!$C$16,'Tipología Clientes'!$L$16,IF(B15&gt;'Tipología Clientes'!$C$15,'Tipología Clientes'!$L$15,IF(B15&gt;'Tipología Clientes'!$C$14,'Tipología Clientes'!$L$14,IF(B15&gt;'Tipología Clientes'!$C$13,'Tipología Clientes'!$L$13,IF(B15&gt;'Tipología Clientes'!$C$12,'Tipología Clientes'!$L$12,IF(B15&gt;'Tipología Clientes'!$C$11,'Tipología Clientes'!$L$11,IF(B15&gt;'Tipología Clientes'!$C$10,'Tipología Clientes'!$L$10,IF(B15&gt;'Tipología Clientes'!$C$9,'Tipología Clientes'!$L$9,IF(B15&gt;'Tipología Clientes'!$C$8,'Tipología Clientes'!$L$8,IF(B15&gt;'Tipología Clientes'!$C$7,'Tipología Clientes'!$L$7,'Tipología Clientes'!$L$6)))))))))))</f>
        <v>0.37354729180664842</v>
      </c>
      <c r="D15" s="113">
        <f t="shared" si="11"/>
        <v>7.3343485215664958E-2</v>
      </c>
      <c r="E15" s="76" t="str">
        <f>IF(B15&gt;'Peajes Actuales'!$C$14,'Peajes Actuales'!$B$14,IF(B15&gt;'Peajes Actuales'!$C$13,'Peajes Actuales'!$B$13,IF(B15&gt;'Peajes Actuales'!$C$12,'Peajes Actuales'!$B$12,'Peajes Actuales'!$B$11)))</f>
        <v>3.2</v>
      </c>
      <c r="F15" s="88">
        <f>'Peajes Actuales'!$H$36</f>
        <v>28.805999999999997</v>
      </c>
      <c r="G15" s="88">
        <f>'Peajes Actuales'!$I$36</f>
        <v>0.17100000000000001</v>
      </c>
      <c r="H15" s="123">
        <f t="shared" si="12"/>
        <v>25.352789221469337</v>
      </c>
      <c r="I15" s="123">
        <f t="shared" si="13"/>
        <v>1.7100000000000002</v>
      </c>
      <c r="J15" s="122">
        <f t="shared" si="14"/>
        <v>27.062789221469338</v>
      </c>
      <c r="K15" s="88">
        <f>VLOOKUP(E15,'Peajes Actuales'!$B$11:$L$14,11,FALSE)</f>
        <v>0.61499999999999999</v>
      </c>
      <c r="L15" s="87">
        <f>VLOOKUP(E15,'Peajes Actuales'!$B$11:$J$14,8,FALSE)*K15</f>
        <v>3.5608499999999998</v>
      </c>
      <c r="M15" s="90">
        <f>VLOOKUP(E15,'Peajes Actuales'!$B$11:$J$14,9,FALSE)*K15</f>
        <v>13.783994999999999</v>
      </c>
      <c r="N15" s="123">
        <f t="shared" si="15"/>
        <v>42.730199999999996</v>
      </c>
      <c r="O15" s="123">
        <f t="shared" si="0"/>
        <v>137.83994999999999</v>
      </c>
      <c r="P15" s="122">
        <f t="shared" si="16"/>
        <v>180.57014999999998</v>
      </c>
      <c r="Q15" s="124">
        <f t="shared" si="17"/>
        <v>207.63293922146931</v>
      </c>
      <c r="R15" s="79">
        <f t="shared" si="1"/>
        <v>20.763293922146932</v>
      </c>
      <c r="T15" s="76" t="str">
        <f>IF(B15&gt;'Peajes Circular CNMC'!$C$23,'Peajes Circular CNMC'!$B$23,IF(B15&gt;'Peajes Circular CNMC'!$C$22,'Peajes Circular CNMC'!$B$22,IF(B15&gt;'Peajes Circular CNMC'!$C$21,'Peajes Circular CNMC'!$B$21,IF(B15&gt;'Peajes Circular CNMC'!$C$20,'Peajes Circular CNMC'!$B$20,IF(B15&gt;'Peajes Circular CNMC'!$C$19,'Peajes Circular CNMC'!$B$19,IF(B15&gt;'Peajes Circular CNMC'!$C$18,'Peajes Circular CNMC'!$B$18,IF(B15&gt;'Peajes Circular CNMC'!$C$17,'Peajes Circular CNMC'!$B$17,IF(B15&gt;'Peajes Circular CNMC'!$C$16,'Peajes Circular CNMC'!$B$16,IF(B15&gt;'Peajes Circular CNMC'!$C$15,'Peajes Circular CNMC'!$B$15,IF(B15&gt;'Peajes Circular CNMC'!$C$14,'Peajes Circular CNMC'!$B$14,'Peajes Circular CNMC'!$B$13))))))))))</f>
        <v>D.2</v>
      </c>
      <c r="U15" s="96">
        <f>'Peajes Circular CNMC'!$H$42</f>
        <v>26.201279999999997</v>
      </c>
      <c r="V15" s="88">
        <f>'Peajes Circular CNMC'!$I$42</f>
        <v>0.11939999999999999</v>
      </c>
      <c r="W15" s="123">
        <f t="shared" si="2"/>
        <v>23.060318307737973</v>
      </c>
      <c r="X15" s="123">
        <f t="shared" si="3"/>
        <v>1.194</v>
      </c>
      <c r="Y15" s="122">
        <f t="shared" si="18"/>
        <v>24.254318307737972</v>
      </c>
      <c r="Z15" s="88">
        <f>'Peajes Circular CNMC'!$H$35</f>
        <v>0.26106499999999999</v>
      </c>
      <c r="AA15" s="122">
        <f t="shared" si="19"/>
        <v>2.6106499999999997</v>
      </c>
      <c r="AB15" s="98">
        <f>VLOOKUP(T15,'Peajes Circular CNMC'!$B$13:$J$23,7,FALSE)</f>
        <v>0</v>
      </c>
      <c r="AC15" s="87">
        <f>VLOOKUP(T15,'Peajes Circular CNMC'!$B$13:$J$23,8,FALSE)</f>
        <v>2.6749999999999998</v>
      </c>
      <c r="AD15" s="87">
        <f>VLOOKUP(T15,'Peajes Circular CNMC'!$B$13:$J$23,9,FALSE)</f>
        <v>16.984999999999999</v>
      </c>
      <c r="AE15" s="123">
        <f t="shared" si="4"/>
        <v>0</v>
      </c>
      <c r="AF15" s="123">
        <f t="shared" si="20"/>
        <v>32.099999999999994</v>
      </c>
      <c r="AG15" s="123">
        <f t="shared" si="5"/>
        <v>169.85</v>
      </c>
      <c r="AH15" s="122">
        <f t="shared" si="21"/>
        <v>201.95</v>
      </c>
      <c r="AI15" s="124">
        <f t="shared" si="22"/>
        <v>228.81496830773796</v>
      </c>
      <c r="AJ15" s="79">
        <f t="shared" si="6"/>
        <v>22.881496830773795</v>
      </c>
      <c r="AK15" s="67"/>
      <c r="AL15" s="75">
        <f t="shared" si="7"/>
        <v>-0.10377610713914742</v>
      </c>
      <c r="AM15" s="100">
        <f t="shared" si="8"/>
        <v>0.11840190640590378</v>
      </c>
      <c r="AN15" s="125">
        <f t="shared" si="9"/>
        <v>21.182029086268642</v>
      </c>
      <c r="AO15" s="100">
        <f t="shared" si="10"/>
        <v>0.10201670874424733</v>
      </c>
      <c r="AP15" s="192">
        <f t="shared" si="23"/>
        <v>2.1182029086268628</v>
      </c>
    </row>
    <row r="16" spans="2:42">
      <c r="B16" s="105">
        <v>25</v>
      </c>
      <c r="C16" s="112">
        <f>IF($C$5&lt;&gt;"Memoria CNMC",$C$5,IF(B16&gt;'Tipología Clientes'!$C$16,'Tipología Clientes'!$L$16,IF(B16&gt;'Tipología Clientes'!$C$15,'Tipología Clientes'!$L$15,IF(B16&gt;'Tipología Clientes'!$C$14,'Tipología Clientes'!$L$14,IF(B16&gt;'Tipología Clientes'!$C$13,'Tipología Clientes'!$L$13,IF(B16&gt;'Tipología Clientes'!$C$12,'Tipología Clientes'!$L$12,IF(B16&gt;'Tipología Clientes'!$C$11,'Tipología Clientes'!$L$11,IF(B16&gt;'Tipología Clientes'!$C$10,'Tipología Clientes'!$L$10,IF(B16&gt;'Tipología Clientes'!$C$9,'Tipología Clientes'!$L$9,IF(B16&gt;'Tipología Clientes'!$C$8,'Tipología Clientes'!$L$8,IF(B16&gt;'Tipología Clientes'!$C$7,'Tipología Clientes'!$L$7,'Tipología Clientes'!$L$6)))))))))))</f>
        <v>0.36188925626159096</v>
      </c>
      <c r="D16" s="113">
        <f t="shared" si="11"/>
        <v>0.18926549904377751</v>
      </c>
      <c r="E16" s="76" t="str">
        <f>IF(B16&gt;'Peajes Actuales'!$C$14,'Peajes Actuales'!$B$14,IF(B16&gt;'Peajes Actuales'!$C$13,'Peajes Actuales'!$B$13,IF(B16&gt;'Peajes Actuales'!$C$12,'Peajes Actuales'!$B$12,'Peajes Actuales'!$B$11)))</f>
        <v>3.2</v>
      </c>
      <c r="F16" s="88">
        <f>'Peajes Actuales'!$H$36</f>
        <v>28.805999999999997</v>
      </c>
      <c r="G16" s="88">
        <f>'Peajes Actuales'!$I$36</f>
        <v>0.17100000000000001</v>
      </c>
      <c r="H16" s="123">
        <f t="shared" si="12"/>
        <v>65.423783585460654</v>
      </c>
      <c r="I16" s="123">
        <f t="shared" si="13"/>
        <v>4.2750000000000004</v>
      </c>
      <c r="J16" s="122">
        <f t="shared" si="14"/>
        <v>69.69878358546066</v>
      </c>
      <c r="K16" s="88">
        <f>VLOOKUP(E16,'Peajes Actuales'!$B$11:$L$14,11,FALSE)</f>
        <v>0.61499999999999999</v>
      </c>
      <c r="L16" s="87">
        <f>VLOOKUP(E16,'Peajes Actuales'!$B$11:$J$14,8,FALSE)*K16</f>
        <v>3.5608499999999998</v>
      </c>
      <c r="M16" s="90">
        <f>VLOOKUP(E16,'Peajes Actuales'!$B$11:$J$14,9,FALSE)*K16</f>
        <v>13.783994999999999</v>
      </c>
      <c r="N16" s="123">
        <f t="shared" si="15"/>
        <v>42.730199999999996</v>
      </c>
      <c r="O16" s="123">
        <f t="shared" si="0"/>
        <v>344.599875</v>
      </c>
      <c r="P16" s="122">
        <f t="shared" si="16"/>
        <v>387.33007499999997</v>
      </c>
      <c r="Q16" s="124">
        <f t="shared" si="17"/>
        <v>457.02885858546063</v>
      </c>
      <c r="R16" s="79">
        <f t="shared" si="1"/>
        <v>18.281154343418425</v>
      </c>
      <c r="T16" s="76" t="str">
        <f>IF(B16&gt;'Peajes Circular CNMC'!$C$23,'Peajes Circular CNMC'!$B$23,IF(B16&gt;'Peajes Circular CNMC'!$C$22,'Peajes Circular CNMC'!$B$22,IF(B16&gt;'Peajes Circular CNMC'!$C$21,'Peajes Circular CNMC'!$B$21,IF(B16&gt;'Peajes Circular CNMC'!$C$20,'Peajes Circular CNMC'!$B$20,IF(B16&gt;'Peajes Circular CNMC'!$C$19,'Peajes Circular CNMC'!$B$19,IF(B16&gt;'Peajes Circular CNMC'!$C$18,'Peajes Circular CNMC'!$B$18,IF(B16&gt;'Peajes Circular CNMC'!$C$17,'Peajes Circular CNMC'!$B$17,IF(B16&gt;'Peajes Circular CNMC'!$C$16,'Peajes Circular CNMC'!$B$16,IF(B16&gt;'Peajes Circular CNMC'!$C$15,'Peajes Circular CNMC'!$B$15,IF(B16&gt;'Peajes Circular CNMC'!$C$14,'Peajes Circular CNMC'!$B$14,'Peajes Circular CNMC'!$B$13))))))))))</f>
        <v>D.3</v>
      </c>
      <c r="U16" s="96">
        <f>'Peajes Circular CNMC'!$H$42</f>
        <v>26.201279999999997</v>
      </c>
      <c r="V16" s="88">
        <f>'Peajes Circular CNMC'!$I$42</f>
        <v>0.11939999999999999</v>
      </c>
      <c r="W16" s="123">
        <f t="shared" si="2"/>
        <v>59.507980017428956</v>
      </c>
      <c r="X16" s="123">
        <f t="shared" si="3"/>
        <v>2.9849999999999999</v>
      </c>
      <c r="Y16" s="122">
        <f t="shared" si="18"/>
        <v>62.492980017428955</v>
      </c>
      <c r="Z16" s="88">
        <f>'Peajes Circular CNMC'!$H$35</f>
        <v>0.26106499999999999</v>
      </c>
      <c r="AA16" s="122">
        <f t="shared" si="19"/>
        <v>6.5266250000000001</v>
      </c>
      <c r="AB16" s="98">
        <f>VLOOKUP(T16,'Peajes Circular CNMC'!$B$13:$J$23,7,FALSE)</f>
        <v>0</v>
      </c>
      <c r="AC16" s="87">
        <f>VLOOKUP(T16,'Peajes Circular CNMC'!$B$13:$J$23,8,FALSE)</f>
        <v>13.936999999999999</v>
      </c>
      <c r="AD16" s="87">
        <f>VLOOKUP(T16,'Peajes Circular CNMC'!$B$13:$J$23,9,FALSE)</f>
        <v>14.494</v>
      </c>
      <c r="AE16" s="123">
        <f t="shared" si="4"/>
        <v>0</v>
      </c>
      <c r="AF16" s="123">
        <f t="shared" si="20"/>
        <v>167.244</v>
      </c>
      <c r="AG16" s="123">
        <f t="shared" si="5"/>
        <v>362.35</v>
      </c>
      <c r="AH16" s="122">
        <f t="shared" si="21"/>
        <v>529.59400000000005</v>
      </c>
      <c r="AI16" s="124">
        <f t="shared" si="22"/>
        <v>598.61360501742899</v>
      </c>
      <c r="AJ16" s="79">
        <f t="shared" si="6"/>
        <v>23.944544200697159</v>
      </c>
      <c r="AK16" s="67"/>
      <c r="AL16" s="75">
        <f t="shared" si="7"/>
        <v>-0.10338492578132817</v>
      </c>
      <c r="AM16" s="100">
        <f t="shared" si="8"/>
        <v>0.36729377392137724</v>
      </c>
      <c r="AN16" s="125">
        <f t="shared" si="9"/>
        <v>141.58474643196837</v>
      </c>
      <c r="AO16" s="100">
        <f t="shared" si="10"/>
        <v>0.30979388669280977</v>
      </c>
      <c r="AP16" s="192">
        <f t="shared" si="23"/>
        <v>5.6633898572787338</v>
      </c>
    </row>
    <row r="17" spans="2:42">
      <c r="B17" s="105">
        <v>50</v>
      </c>
      <c r="C17" s="112">
        <f>IF($C$5&lt;&gt;"Memoria CNMC",$C$5,IF(B17&gt;'Tipología Clientes'!$C$16,'Tipología Clientes'!$L$16,IF(B17&gt;'Tipología Clientes'!$C$15,'Tipología Clientes'!$L$15,IF(B17&gt;'Tipología Clientes'!$C$14,'Tipología Clientes'!$L$14,IF(B17&gt;'Tipología Clientes'!$C$13,'Tipología Clientes'!$L$13,IF(B17&gt;'Tipología Clientes'!$C$12,'Tipología Clientes'!$L$12,IF(B17&gt;'Tipología Clientes'!$C$11,'Tipología Clientes'!$L$11,IF(B17&gt;'Tipología Clientes'!$C$10,'Tipología Clientes'!$L$10,IF(B17&gt;'Tipología Clientes'!$C$9,'Tipología Clientes'!$L$9,IF(B17&gt;'Tipología Clientes'!$C$8,'Tipología Clientes'!$L$8,IF(B17&gt;'Tipología Clientes'!$C$7,'Tipología Clientes'!$L$7,'Tipología Clientes'!$L$6)))))))))))</f>
        <v>0.36188925626159096</v>
      </c>
      <c r="D17" s="113">
        <f t="shared" ref="D17:D35" si="24">B17/365/C17</f>
        <v>0.37853099808755503</v>
      </c>
      <c r="E17" s="76" t="str">
        <f>IF(B17&gt;'Peajes Actuales'!$C$14,'Peajes Actuales'!$B$14,IF(B17&gt;'Peajes Actuales'!$C$13,'Peajes Actuales'!$B$13,IF(B17&gt;'Peajes Actuales'!$C$12,'Peajes Actuales'!$B$12,'Peajes Actuales'!$B$11)))</f>
        <v>3.2</v>
      </c>
      <c r="F17" s="88">
        <f>'Peajes Actuales'!$H$36</f>
        <v>28.805999999999997</v>
      </c>
      <c r="G17" s="88">
        <f>'Peajes Actuales'!$I$36</f>
        <v>0.17100000000000001</v>
      </c>
      <c r="H17" s="123">
        <f t="shared" ref="H17:H35" si="25">D17*F17*12</f>
        <v>130.84756717092131</v>
      </c>
      <c r="I17" s="123">
        <f t="shared" ref="I17:I35" si="26">B17*G17</f>
        <v>8.5500000000000007</v>
      </c>
      <c r="J17" s="122">
        <f t="shared" ref="J17:J35" si="27">H17+I17</f>
        <v>139.39756717092132</v>
      </c>
      <c r="K17" s="88">
        <f>VLOOKUP(E17,'Peajes Actuales'!$B$11:$L$14,11,FALSE)</f>
        <v>0.61499999999999999</v>
      </c>
      <c r="L17" s="87">
        <f>VLOOKUP(E17,'Peajes Actuales'!$B$11:$J$14,8,FALSE)*K17</f>
        <v>3.5608499999999998</v>
      </c>
      <c r="M17" s="90">
        <f>VLOOKUP(E17,'Peajes Actuales'!$B$11:$J$14,9,FALSE)*K17</f>
        <v>13.783994999999999</v>
      </c>
      <c r="N17" s="123">
        <f t="shared" ref="N17:N35" si="28">L17*12</f>
        <v>42.730199999999996</v>
      </c>
      <c r="O17" s="123">
        <f t="shared" ref="O17:O35" si="29">B17*M17</f>
        <v>689.19974999999999</v>
      </c>
      <c r="P17" s="122">
        <f t="shared" ref="P17:P35" si="30">SUM(N17:O17)</f>
        <v>731.92994999999996</v>
      </c>
      <c r="Q17" s="124">
        <f t="shared" ref="Q17:Q35" si="31">J17+P17</f>
        <v>871.32751717092128</v>
      </c>
      <c r="R17" s="79">
        <f t="shared" ref="R17:R35" si="32">Q17/B17</f>
        <v>17.426550343418427</v>
      </c>
      <c r="T17" s="76" t="str">
        <f>IF(B17&gt;'Peajes Circular CNMC'!$C$23,'Peajes Circular CNMC'!$B$23,IF(B17&gt;'Peajes Circular CNMC'!$C$22,'Peajes Circular CNMC'!$B$22,IF(B17&gt;'Peajes Circular CNMC'!$C$21,'Peajes Circular CNMC'!$B$21,IF(B17&gt;'Peajes Circular CNMC'!$C$20,'Peajes Circular CNMC'!$B$20,IF(B17&gt;'Peajes Circular CNMC'!$C$19,'Peajes Circular CNMC'!$B$19,IF(B17&gt;'Peajes Circular CNMC'!$C$18,'Peajes Circular CNMC'!$B$18,IF(B17&gt;'Peajes Circular CNMC'!$C$17,'Peajes Circular CNMC'!$B$17,IF(B17&gt;'Peajes Circular CNMC'!$C$16,'Peajes Circular CNMC'!$B$16,IF(B17&gt;'Peajes Circular CNMC'!$C$15,'Peajes Circular CNMC'!$B$15,IF(B17&gt;'Peajes Circular CNMC'!$C$14,'Peajes Circular CNMC'!$B$14,'Peajes Circular CNMC'!$B$13))))))))))</f>
        <v>D.3</v>
      </c>
      <c r="U17" s="96">
        <f>'Peajes Circular CNMC'!$H$42</f>
        <v>26.201279999999997</v>
      </c>
      <c r="V17" s="88">
        <f>'Peajes Circular CNMC'!$I$42</f>
        <v>0.11939999999999999</v>
      </c>
      <c r="W17" s="123">
        <f t="shared" si="2"/>
        <v>119.01596003485791</v>
      </c>
      <c r="X17" s="123">
        <f t="shared" si="3"/>
        <v>5.97</v>
      </c>
      <c r="Y17" s="122">
        <f t="shared" si="18"/>
        <v>124.98596003485791</v>
      </c>
      <c r="Z17" s="88">
        <f>'Peajes Circular CNMC'!$H$35</f>
        <v>0.26106499999999999</v>
      </c>
      <c r="AA17" s="122">
        <f t="shared" si="19"/>
        <v>13.05325</v>
      </c>
      <c r="AB17" s="98">
        <f>VLOOKUP(T17,'Peajes Circular CNMC'!$B$13:$J$23,7,FALSE)</f>
        <v>0</v>
      </c>
      <c r="AC17" s="87">
        <f>VLOOKUP(T17,'Peajes Circular CNMC'!$B$13:$J$23,8,FALSE)</f>
        <v>13.936999999999999</v>
      </c>
      <c r="AD17" s="87">
        <f>VLOOKUP(T17,'Peajes Circular CNMC'!$B$13:$J$23,9,FALSE)</f>
        <v>14.494</v>
      </c>
      <c r="AE17" s="123">
        <f t="shared" si="4"/>
        <v>0</v>
      </c>
      <c r="AF17" s="123">
        <f t="shared" si="20"/>
        <v>167.244</v>
      </c>
      <c r="AG17" s="123">
        <f t="shared" si="5"/>
        <v>724.7</v>
      </c>
      <c r="AH17" s="122">
        <f t="shared" si="21"/>
        <v>891.94400000000007</v>
      </c>
      <c r="AI17" s="124">
        <f t="shared" si="22"/>
        <v>1029.9832100348581</v>
      </c>
      <c r="AJ17" s="79">
        <f t="shared" si="6"/>
        <v>20.599664200697163</v>
      </c>
      <c r="AK17" s="67"/>
      <c r="AL17" s="75">
        <f t="shared" si="7"/>
        <v>-0.10338492578132817</v>
      </c>
      <c r="AM17" s="100">
        <f t="shared" si="8"/>
        <v>0.21861935011677022</v>
      </c>
      <c r="AN17" s="125">
        <f t="shared" si="9"/>
        <v>158.65569286393679</v>
      </c>
      <c r="AO17" s="100">
        <f t="shared" si="10"/>
        <v>0.18208502513391253</v>
      </c>
      <c r="AP17" s="192">
        <f t="shared" si="23"/>
        <v>3.1731138572787358</v>
      </c>
    </row>
    <row r="18" spans="2:42">
      <c r="B18" s="105">
        <v>75</v>
      </c>
      <c r="C18" s="112">
        <f>IF($C$5&lt;&gt;"Memoria CNMC",$C$5,IF(B18&gt;'Tipología Clientes'!$C$16,'Tipología Clientes'!$L$16,IF(B18&gt;'Tipología Clientes'!$C$15,'Tipología Clientes'!$L$15,IF(B18&gt;'Tipología Clientes'!$C$14,'Tipología Clientes'!$L$14,IF(B18&gt;'Tipología Clientes'!$C$13,'Tipología Clientes'!$L$13,IF(B18&gt;'Tipología Clientes'!$C$12,'Tipología Clientes'!$L$12,IF(B18&gt;'Tipología Clientes'!$C$11,'Tipología Clientes'!$L$11,IF(B18&gt;'Tipología Clientes'!$C$10,'Tipología Clientes'!$L$10,IF(B18&gt;'Tipología Clientes'!$C$9,'Tipología Clientes'!$L$9,IF(B18&gt;'Tipología Clientes'!$C$8,'Tipología Clientes'!$L$8,IF(B18&gt;'Tipología Clientes'!$C$7,'Tipología Clientes'!$L$7,'Tipología Clientes'!$L$6)))))))))))</f>
        <v>0.43037532312486537</v>
      </c>
      <c r="D18" s="113">
        <f t="shared" si="24"/>
        <v>0.47744245781298777</v>
      </c>
      <c r="E18" s="76" t="str">
        <f>IF(B18&gt;'Peajes Actuales'!$C$14,'Peajes Actuales'!$B$14,IF(B18&gt;'Peajes Actuales'!$C$13,'Peajes Actuales'!$B$13,IF(B18&gt;'Peajes Actuales'!$C$12,'Peajes Actuales'!$B$12,'Peajes Actuales'!$B$11)))</f>
        <v>3.3</v>
      </c>
      <c r="F18" s="88">
        <f>'Peajes Actuales'!$H$36</f>
        <v>28.805999999999997</v>
      </c>
      <c r="G18" s="88">
        <f>'Peajes Actuales'!$I$36</f>
        <v>0.17100000000000001</v>
      </c>
      <c r="H18" s="123">
        <f t="shared" si="25"/>
        <v>165.03848927713108</v>
      </c>
      <c r="I18" s="123">
        <f t="shared" si="26"/>
        <v>12.825000000000001</v>
      </c>
      <c r="J18" s="122">
        <f t="shared" si="27"/>
        <v>177.86348927713107</v>
      </c>
      <c r="K18" s="88">
        <f>VLOOKUP(E18,'Peajes Actuales'!$B$11:$L$14,11,FALSE)</f>
        <v>0.61599999999999999</v>
      </c>
      <c r="L18" s="87">
        <f>VLOOKUP(E18,'Peajes Actuales'!$B$11:$J$14,8,FALSE)*K18</f>
        <v>33.399519999999995</v>
      </c>
      <c r="M18" s="90">
        <f>VLOOKUP(E18,'Peajes Actuales'!$B$11:$J$14,9,FALSE)*K18</f>
        <v>9.9280720000000002</v>
      </c>
      <c r="N18" s="123">
        <f t="shared" si="28"/>
        <v>400.79423999999995</v>
      </c>
      <c r="O18" s="123">
        <f t="shared" si="29"/>
        <v>744.60540000000003</v>
      </c>
      <c r="P18" s="122">
        <f t="shared" si="30"/>
        <v>1145.3996400000001</v>
      </c>
      <c r="Q18" s="124">
        <f t="shared" si="31"/>
        <v>1323.2631292771312</v>
      </c>
      <c r="R18" s="79">
        <f t="shared" si="32"/>
        <v>17.643508390361749</v>
      </c>
      <c r="T18" s="76" t="str">
        <f>IF(B18&gt;'Peajes Circular CNMC'!$C$23,'Peajes Circular CNMC'!$B$23,IF(B18&gt;'Peajes Circular CNMC'!$C$22,'Peajes Circular CNMC'!$B$22,IF(B18&gt;'Peajes Circular CNMC'!$C$21,'Peajes Circular CNMC'!$B$21,IF(B18&gt;'Peajes Circular CNMC'!$C$20,'Peajes Circular CNMC'!$B$20,IF(B18&gt;'Peajes Circular CNMC'!$C$19,'Peajes Circular CNMC'!$B$19,IF(B18&gt;'Peajes Circular CNMC'!$C$18,'Peajes Circular CNMC'!$B$18,IF(B18&gt;'Peajes Circular CNMC'!$C$17,'Peajes Circular CNMC'!$B$17,IF(B18&gt;'Peajes Circular CNMC'!$C$16,'Peajes Circular CNMC'!$B$16,IF(B18&gt;'Peajes Circular CNMC'!$C$15,'Peajes Circular CNMC'!$B$15,IF(B18&gt;'Peajes Circular CNMC'!$C$14,'Peajes Circular CNMC'!$B$14,'Peajes Circular CNMC'!$B$13))))))))))</f>
        <v>D.4</v>
      </c>
      <c r="U18" s="96">
        <f>'Peajes Circular CNMC'!$H$42</f>
        <v>26.201279999999997</v>
      </c>
      <c r="V18" s="88">
        <f>'Peajes Circular CNMC'!$I$42</f>
        <v>0.11939999999999999</v>
      </c>
      <c r="W18" s="123">
        <f t="shared" si="2"/>
        <v>150.11524225255533</v>
      </c>
      <c r="X18" s="123">
        <f t="shared" si="3"/>
        <v>8.9550000000000001</v>
      </c>
      <c r="Y18" s="122">
        <f t="shared" si="18"/>
        <v>159.07024225255535</v>
      </c>
      <c r="Z18" s="88">
        <f>'Peajes Circular CNMC'!$H$35</f>
        <v>0.26106499999999999</v>
      </c>
      <c r="AA18" s="122">
        <f t="shared" si="19"/>
        <v>19.579874999999998</v>
      </c>
      <c r="AB18" s="98">
        <f>VLOOKUP(T18,'Peajes Circular CNMC'!$B$13:$J$23,7,FALSE)</f>
        <v>0</v>
      </c>
      <c r="AC18" s="87">
        <f>VLOOKUP(T18,'Peajes Circular CNMC'!$B$13:$J$23,8,FALSE)</f>
        <v>45.389000000000003</v>
      </c>
      <c r="AD18" s="87">
        <f>VLOOKUP(T18,'Peajes Circular CNMC'!$B$13:$J$23,9,FALSE)</f>
        <v>14.335000000000001</v>
      </c>
      <c r="AE18" s="123">
        <f t="shared" si="4"/>
        <v>0</v>
      </c>
      <c r="AF18" s="123">
        <f t="shared" si="20"/>
        <v>544.66800000000001</v>
      </c>
      <c r="AG18" s="123">
        <f t="shared" si="5"/>
        <v>1075.125</v>
      </c>
      <c r="AH18" s="122">
        <f t="shared" si="21"/>
        <v>1619.7930000000001</v>
      </c>
      <c r="AI18" s="124">
        <f t="shared" si="22"/>
        <v>1798.4431172525556</v>
      </c>
      <c r="AJ18" s="79">
        <f t="shared" si="6"/>
        <v>23.979241563367406</v>
      </c>
      <c r="AK18" s="67"/>
      <c r="AL18" s="75">
        <f t="shared" si="7"/>
        <v>-0.10566107243794005</v>
      </c>
      <c r="AM18" s="100">
        <f t="shared" si="8"/>
        <v>0.41417278601554303</v>
      </c>
      <c r="AN18" s="125">
        <f t="shared" si="9"/>
        <v>475.17998797542441</v>
      </c>
      <c r="AO18" s="100">
        <f t="shared" si="10"/>
        <v>0.35909712699015844</v>
      </c>
      <c r="AP18" s="192">
        <f t="shared" si="23"/>
        <v>6.3357331730056572</v>
      </c>
    </row>
    <row r="19" spans="2:42">
      <c r="B19" s="105">
        <v>100</v>
      </c>
      <c r="C19" s="112">
        <f>IF($C$5&lt;&gt;"Memoria CNMC",$C$5,IF(B19&gt;'Tipología Clientes'!$C$16,'Tipología Clientes'!$L$16,IF(B19&gt;'Tipología Clientes'!$C$15,'Tipología Clientes'!$L$15,IF(B19&gt;'Tipología Clientes'!$C$14,'Tipología Clientes'!$L$14,IF(B19&gt;'Tipología Clientes'!$C$13,'Tipología Clientes'!$L$13,IF(B19&gt;'Tipología Clientes'!$C$12,'Tipología Clientes'!$L$12,IF(B19&gt;'Tipología Clientes'!$C$11,'Tipología Clientes'!$L$11,IF(B19&gt;'Tipología Clientes'!$C$10,'Tipología Clientes'!$L$10,IF(B19&gt;'Tipología Clientes'!$C$9,'Tipología Clientes'!$L$9,IF(B19&gt;'Tipología Clientes'!$C$8,'Tipología Clientes'!$L$8,IF(B19&gt;'Tipología Clientes'!$C$7,'Tipología Clientes'!$L$7,'Tipología Clientes'!$L$6)))))))))))</f>
        <v>0.43037532312486537</v>
      </c>
      <c r="D19" s="113">
        <f t="shared" si="24"/>
        <v>0.63658994375065037</v>
      </c>
      <c r="E19" s="76" t="str">
        <f>IF(B19&gt;'Peajes Actuales'!$C$14,'Peajes Actuales'!$B$14,IF(B19&gt;'Peajes Actuales'!$C$13,'Peajes Actuales'!$B$13,IF(B19&gt;'Peajes Actuales'!$C$12,'Peajes Actuales'!$B$12,'Peajes Actuales'!$B$11)))</f>
        <v>3.3</v>
      </c>
      <c r="F19" s="88">
        <f>'Peajes Actuales'!$H$36</f>
        <v>28.805999999999997</v>
      </c>
      <c r="G19" s="88">
        <f>'Peajes Actuales'!$I$36</f>
        <v>0.17100000000000001</v>
      </c>
      <c r="H19" s="123">
        <f t="shared" si="25"/>
        <v>220.05131903617479</v>
      </c>
      <c r="I19" s="123">
        <f t="shared" si="26"/>
        <v>17.100000000000001</v>
      </c>
      <c r="J19" s="122">
        <f t="shared" si="27"/>
        <v>237.15131903617478</v>
      </c>
      <c r="K19" s="88">
        <f>VLOOKUP(E19,'Peajes Actuales'!$B$11:$L$14,11,FALSE)</f>
        <v>0.61599999999999999</v>
      </c>
      <c r="L19" s="87">
        <f>VLOOKUP(E19,'Peajes Actuales'!$B$11:$J$14,8,FALSE)*K19</f>
        <v>33.399519999999995</v>
      </c>
      <c r="M19" s="90">
        <f>VLOOKUP(E19,'Peajes Actuales'!$B$11:$J$14,9,FALSE)*K19</f>
        <v>9.9280720000000002</v>
      </c>
      <c r="N19" s="123">
        <f t="shared" si="28"/>
        <v>400.79423999999995</v>
      </c>
      <c r="O19" s="123">
        <f t="shared" si="29"/>
        <v>992.80719999999997</v>
      </c>
      <c r="P19" s="122">
        <f t="shared" si="30"/>
        <v>1393.6014399999999</v>
      </c>
      <c r="Q19" s="124">
        <f t="shared" si="31"/>
        <v>1630.7527590361747</v>
      </c>
      <c r="R19" s="79">
        <f t="shared" si="32"/>
        <v>16.307527590361747</v>
      </c>
      <c r="T19" s="76" t="str">
        <f>IF(B19&gt;'Peajes Circular CNMC'!$C$23,'Peajes Circular CNMC'!$B$23,IF(B19&gt;'Peajes Circular CNMC'!$C$22,'Peajes Circular CNMC'!$B$22,IF(B19&gt;'Peajes Circular CNMC'!$C$21,'Peajes Circular CNMC'!$B$21,IF(B19&gt;'Peajes Circular CNMC'!$C$20,'Peajes Circular CNMC'!$B$20,IF(B19&gt;'Peajes Circular CNMC'!$C$19,'Peajes Circular CNMC'!$B$19,IF(B19&gt;'Peajes Circular CNMC'!$C$18,'Peajes Circular CNMC'!$B$18,IF(B19&gt;'Peajes Circular CNMC'!$C$17,'Peajes Circular CNMC'!$B$17,IF(B19&gt;'Peajes Circular CNMC'!$C$16,'Peajes Circular CNMC'!$B$16,IF(B19&gt;'Peajes Circular CNMC'!$C$15,'Peajes Circular CNMC'!$B$15,IF(B19&gt;'Peajes Circular CNMC'!$C$14,'Peajes Circular CNMC'!$B$14,'Peajes Circular CNMC'!$B$13))))))))))</f>
        <v>D.4</v>
      </c>
      <c r="U19" s="96">
        <f>'Peajes Circular CNMC'!$H$42</f>
        <v>26.201279999999997</v>
      </c>
      <c r="V19" s="88">
        <f>'Peajes Circular CNMC'!$I$42</f>
        <v>0.11939999999999999</v>
      </c>
      <c r="W19" s="123">
        <f t="shared" si="2"/>
        <v>200.15365633674045</v>
      </c>
      <c r="X19" s="123">
        <f t="shared" si="3"/>
        <v>11.94</v>
      </c>
      <c r="Y19" s="122">
        <f t="shared" si="18"/>
        <v>212.09365633674045</v>
      </c>
      <c r="Z19" s="88">
        <f>'Peajes Circular CNMC'!$H$35</f>
        <v>0.26106499999999999</v>
      </c>
      <c r="AA19" s="122">
        <f t="shared" si="19"/>
        <v>26.1065</v>
      </c>
      <c r="AB19" s="98">
        <f>VLOOKUP(T19,'Peajes Circular CNMC'!$B$13:$J$23,7,FALSE)</f>
        <v>0</v>
      </c>
      <c r="AC19" s="87">
        <f>VLOOKUP(T19,'Peajes Circular CNMC'!$B$13:$J$23,8,FALSE)</f>
        <v>45.389000000000003</v>
      </c>
      <c r="AD19" s="87">
        <f>VLOOKUP(T19,'Peajes Circular CNMC'!$B$13:$J$23,9,FALSE)</f>
        <v>14.335000000000001</v>
      </c>
      <c r="AE19" s="123">
        <f t="shared" si="4"/>
        <v>0</v>
      </c>
      <c r="AF19" s="123">
        <f t="shared" si="20"/>
        <v>544.66800000000001</v>
      </c>
      <c r="AG19" s="123">
        <f t="shared" si="5"/>
        <v>1433.5</v>
      </c>
      <c r="AH19" s="122">
        <f t="shared" si="21"/>
        <v>1978.1680000000001</v>
      </c>
      <c r="AI19" s="124">
        <f t="shared" si="22"/>
        <v>2216.3681563367404</v>
      </c>
      <c r="AJ19" s="79">
        <f t="shared" si="6"/>
        <v>22.163681563367405</v>
      </c>
      <c r="AK19" s="67"/>
      <c r="AL19" s="75">
        <f t="shared" si="7"/>
        <v>-0.10566107243794021</v>
      </c>
      <c r="AM19" s="100">
        <f t="shared" si="8"/>
        <v>0.41946466415821171</v>
      </c>
      <c r="AN19" s="125">
        <f t="shared" si="9"/>
        <v>585.61539730056575</v>
      </c>
      <c r="AO19" s="100">
        <f t="shared" si="10"/>
        <v>0.3591074085606224</v>
      </c>
      <c r="AP19" s="192">
        <f t="shared" si="23"/>
        <v>5.8561539730056573</v>
      </c>
    </row>
    <row r="20" spans="2:42">
      <c r="B20" s="105">
        <v>150</v>
      </c>
      <c r="C20" s="112">
        <f>IF($C$5&lt;&gt;"Memoria CNMC",$C$5,IF(B20&gt;'Tipología Clientes'!$C$16,'Tipología Clientes'!$L$16,IF(B20&gt;'Tipología Clientes'!$C$15,'Tipología Clientes'!$L$15,IF(B20&gt;'Tipología Clientes'!$C$14,'Tipología Clientes'!$L$14,IF(B20&gt;'Tipología Clientes'!$C$13,'Tipología Clientes'!$L$13,IF(B20&gt;'Tipología Clientes'!$C$12,'Tipología Clientes'!$L$12,IF(B20&gt;'Tipología Clientes'!$C$11,'Tipología Clientes'!$L$11,IF(B20&gt;'Tipología Clientes'!$C$10,'Tipología Clientes'!$L$10,IF(B20&gt;'Tipología Clientes'!$C$9,'Tipología Clientes'!$L$9,IF(B20&gt;'Tipología Clientes'!$C$8,'Tipología Clientes'!$L$8,IF(B20&gt;'Tipología Clientes'!$C$7,'Tipología Clientes'!$L$7,'Tipología Clientes'!$L$6)))))))))))</f>
        <v>0.43037532312486537</v>
      </c>
      <c r="D20" s="113">
        <f t="shared" si="24"/>
        <v>0.95488491562597555</v>
      </c>
      <c r="E20" s="76" t="str">
        <f>IF(B20&gt;'Peajes Actuales'!$C$14,'Peajes Actuales'!$B$14,IF(B20&gt;'Peajes Actuales'!$C$13,'Peajes Actuales'!$B$13,IF(B20&gt;'Peajes Actuales'!$C$12,'Peajes Actuales'!$B$12,'Peajes Actuales'!$B$11)))</f>
        <v>3.4</v>
      </c>
      <c r="F20" s="88">
        <f>'Peajes Actuales'!$H$36</f>
        <v>28.805999999999997</v>
      </c>
      <c r="G20" s="88">
        <f>'Peajes Actuales'!$I$36</f>
        <v>0.17100000000000001</v>
      </c>
      <c r="H20" s="123">
        <f t="shared" si="25"/>
        <v>330.07697855426215</v>
      </c>
      <c r="I20" s="123">
        <f t="shared" si="26"/>
        <v>25.650000000000002</v>
      </c>
      <c r="J20" s="122">
        <f t="shared" si="27"/>
        <v>355.72697855426213</v>
      </c>
      <c r="K20" s="88">
        <f>VLOOKUP(E20,'Peajes Actuales'!$B$11:$L$14,11,FALSE)</f>
        <v>0.72199999999999998</v>
      </c>
      <c r="L20" s="87">
        <f>VLOOKUP(E20,'Peajes Actuales'!$B$11:$J$14,8,FALSE)*K20</f>
        <v>58.460339999999995</v>
      </c>
      <c r="M20" s="90">
        <f>VLOOKUP(E20,'Peajes Actuales'!$B$11:$J$14,9,FALSE)*K20</f>
        <v>9.3946640000000006</v>
      </c>
      <c r="N20" s="123">
        <f t="shared" si="28"/>
        <v>701.52407999999991</v>
      </c>
      <c r="O20" s="123">
        <f t="shared" si="29"/>
        <v>1409.1996000000001</v>
      </c>
      <c r="P20" s="122">
        <f t="shared" si="30"/>
        <v>2110.7236800000001</v>
      </c>
      <c r="Q20" s="124">
        <f t="shared" si="31"/>
        <v>2466.4506585542622</v>
      </c>
      <c r="R20" s="79">
        <f t="shared" si="32"/>
        <v>16.443004390361747</v>
      </c>
      <c r="T20" s="76" t="str">
        <f>IF(B20&gt;'Peajes Circular CNMC'!$C$23,'Peajes Circular CNMC'!$B$23,IF(B20&gt;'Peajes Circular CNMC'!$C$22,'Peajes Circular CNMC'!$B$22,IF(B20&gt;'Peajes Circular CNMC'!$C$21,'Peajes Circular CNMC'!$B$21,IF(B20&gt;'Peajes Circular CNMC'!$C$20,'Peajes Circular CNMC'!$B$20,IF(B20&gt;'Peajes Circular CNMC'!$C$19,'Peajes Circular CNMC'!$B$19,IF(B20&gt;'Peajes Circular CNMC'!$C$18,'Peajes Circular CNMC'!$B$18,IF(B20&gt;'Peajes Circular CNMC'!$C$17,'Peajes Circular CNMC'!$B$17,IF(B20&gt;'Peajes Circular CNMC'!$C$16,'Peajes Circular CNMC'!$B$16,IF(B20&gt;'Peajes Circular CNMC'!$C$15,'Peajes Circular CNMC'!$B$15,IF(B20&gt;'Peajes Circular CNMC'!$C$14,'Peajes Circular CNMC'!$B$14,'Peajes Circular CNMC'!$B$13))))))))))</f>
        <v>D.4</v>
      </c>
      <c r="U20" s="96">
        <f>'Peajes Circular CNMC'!$H$42</f>
        <v>26.201279999999997</v>
      </c>
      <c r="V20" s="88">
        <f>'Peajes Circular CNMC'!$I$42</f>
        <v>0.11939999999999999</v>
      </c>
      <c r="W20" s="123">
        <f t="shared" si="2"/>
        <v>300.23048450511067</v>
      </c>
      <c r="X20" s="123">
        <f t="shared" si="3"/>
        <v>17.91</v>
      </c>
      <c r="Y20" s="122">
        <f t="shared" si="18"/>
        <v>318.14048450511069</v>
      </c>
      <c r="Z20" s="88">
        <f>'Peajes Circular CNMC'!$H$35</f>
        <v>0.26106499999999999</v>
      </c>
      <c r="AA20" s="122">
        <f t="shared" si="19"/>
        <v>39.159749999999995</v>
      </c>
      <c r="AB20" s="98">
        <f>VLOOKUP(T20,'Peajes Circular CNMC'!$B$13:$J$23,7,FALSE)</f>
        <v>0</v>
      </c>
      <c r="AC20" s="87">
        <f>VLOOKUP(T20,'Peajes Circular CNMC'!$B$13:$J$23,8,FALSE)</f>
        <v>45.389000000000003</v>
      </c>
      <c r="AD20" s="87">
        <f>VLOOKUP(T20,'Peajes Circular CNMC'!$B$13:$J$23,9,FALSE)</f>
        <v>14.335000000000001</v>
      </c>
      <c r="AE20" s="123">
        <f t="shared" si="4"/>
        <v>0</v>
      </c>
      <c r="AF20" s="123">
        <f t="shared" si="20"/>
        <v>544.66800000000001</v>
      </c>
      <c r="AG20" s="123">
        <f t="shared" si="5"/>
        <v>2150.25</v>
      </c>
      <c r="AH20" s="122">
        <f t="shared" si="21"/>
        <v>2694.9180000000001</v>
      </c>
      <c r="AI20" s="124">
        <f t="shared" si="22"/>
        <v>3052.2182345051106</v>
      </c>
      <c r="AJ20" s="79">
        <f t="shared" si="6"/>
        <v>20.348121563367403</v>
      </c>
      <c r="AK20" s="67"/>
      <c r="AL20" s="75">
        <f t="shared" si="7"/>
        <v>-0.10566107243794005</v>
      </c>
      <c r="AM20" s="100">
        <f t="shared" si="8"/>
        <v>0.27677441890451526</v>
      </c>
      <c r="AN20" s="125">
        <f t="shared" si="9"/>
        <v>585.76757595084837</v>
      </c>
      <c r="AO20" s="100">
        <f t="shared" si="10"/>
        <v>0.23749413916684739</v>
      </c>
      <c r="AP20" s="192">
        <f t="shared" si="23"/>
        <v>3.9051171730056566</v>
      </c>
    </row>
    <row r="21" spans="2:42">
      <c r="B21" s="105">
        <v>250</v>
      </c>
      <c r="C21" s="112">
        <f>IF($C$5&lt;&gt;"Memoria CNMC",$C$5,IF(B21&gt;'Tipología Clientes'!$C$16,'Tipología Clientes'!$L$16,IF(B21&gt;'Tipología Clientes'!$C$15,'Tipología Clientes'!$L$15,IF(B21&gt;'Tipología Clientes'!$C$14,'Tipología Clientes'!$L$14,IF(B21&gt;'Tipología Clientes'!$C$13,'Tipología Clientes'!$L$13,IF(B21&gt;'Tipología Clientes'!$C$12,'Tipología Clientes'!$L$12,IF(B21&gt;'Tipología Clientes'!$C$11,'Tipología Clientes'!$L$11,IF(B21&gt;'Tipología Clientes'!$C$10,'Tipología Clientes'!$L$10,IF(B21&gt;'Tipología Clientes'!$C$9,'Tipología Clientes'!$L$9,IF(B21&gt;'Tipología Clientes'!$C$8,'Tipología Clientes'!$L$8,IF(B21&gt;'Tipología Clientes'!$C$7,'Tipología Clientes'!$L$7,'Tipología Clientes'!$L$6)))))))))))</f>
        <v>0.43037532312486537</v>
      </c>
      <c r="D21" s="113">
        <f t="shared" si="24"/>
        <v>1.5914748593766259</v>
      </c>
      <c r="E21" s="76" t="str">
        <f>IF(B21&gt;'Peajes Actuales'!$C$14,'Peajes Actuales'!$B$14,IF(B21&gt;'Peajes Actuales'!$C$13,'Peajes Actuales'!$B$13,IF(B21&gt;'Peajes Actuales'!$C$12,'Peajes Actuales'!$B$12,'Peajes Actuales'!$B$11)))</f>
        <v>3.4</v>
      </c>
      <c r="F21" s="88">
        <f>'Peajes Actuales'!$H$36</f>
        <v>28.805999999999997</v>
      </c>
      <c r="G21" s="88">
        <f>'Peajes Actuales'!$I$36</f>
        <v>0.17100000000000001</v>
      </c>
      <c r="H21" s="123">
        <f t="shared" si="25"/>
        <v>550.128297590437</v>
      </c>
      <c r="I21" s="123">
        <f t="shared" si="26"/>
        <v>42.75</v>
      </c>
      <c r="J21" s="122">
        <f t="shared" si="27"/>
        <v>592.878297590437</v>
      </c>
      <c r="K21" s="88">
        <f>VLOOKUP(E21,'Peajes Actuales'!$B$11:$L$14,11,FALSE)</f>
        <v>0.72199999999999998</v>
      </c>
      <c r="L21" s="87">
        <f>VLOOKUP(E21,'Peajes Actuales'!$B$11:$J$14,8,FALSE)*K21</f>
        <v>58.460339999999995</v>
      </c>
      <c r="M21" s="90">
        <f>VLOOKUP(E21,'Peajes Actuales'!$B$11:$J$14,9,FALSE)*K21</f>
        <v>9.3946640000000006</v>
      </c>
      <c r="N21" s="123">
        <f t="shared" si="28"/>
        <v>701.52407999999991</v>
      </c>
      <c r="O21" s="123">
        <f t="shared" si="29"/>
        <v>2348.6660000000002</v>
      </c>
      <c r="P21" s="122">
        <f t="shared" si="30"/>
        <v>3050.1900800000003</v>
      </c>
      <c r="Q21" s="124">
        <f t="shared" si="31"/>
        <v>3643.0683775904372</v>
      </c>
      <c r="R21" s="79">
        <f t="shared" si="32"/>
        <v>14.572273510361748</v>
      </c>
      <c r="T21" s="76" t="str">
        <f>IF(B21&gt;'Peajes Circular CNMC'!$C$23,'Peajes Circular CNMC'!$B$23,IF(B21&gt;'Peajes Circular CNMC'!$C$22,'Peajes Circular CNMC'!$B$22,IF(B21&gt;'Peajes Circular CNMC'!$C$21,'Peajes Circular CNMC'!$B$21,IF(B21&gt;'Peajes Circular CNMC'!$C$20,'Peajes Circular CNMC'!$B$20,IF(B21&gt;'Peajes Circular CNMC'!$C$19,'Peajes Circular CNMC'!$B$19,IF(B21&gt;'Peajes Circular CNMC'!$C$18,'Peajes Circular CNMC'!$B$18,IF(B21&gt;'Peajes Circular CNMC'!$C$17,'Peajes Circular CNMC'!$B$17,IF(B21&gt;'Peajes Circular CNMC'!$C$16,'Peajes Circular CNMC'!$B$16,IF(B21&gt;'Peajes Circular CNMC'!$C$15,'Peajes Circular CNMC'!$B$15,IF(B21&gt;'Peajes Circular CNMC'!$C$14,'Peajes Circular CNMC'!$B$14,'Peajes Circular CNMC'!$B$13))))))))))</f>
        <v>D.4</v>
      </c>
      <c r="U21" s="96">
        <f>'Peajes Circular CNMC'!$H$42</f>
        <v>26.201279999999997</v>
      </c>
      <c r="V21" s="88">
        <f>'Peajes Circular CNMC'!$I$42</f>
        <v>0.11939999999999999</v>
      </c>
      <c r="W21" s="123">
        <f t="shared" si="2"/>
        <v>500.38414084185115</v>
      </c>
      <c r="X21" s="123">
        <f t="shared" si="3"/>
        <v>29.849999999999998</v>
      </c>
      <c r="Y21" s="122">
        <f t="shared" si="18"/>
        <v>530.23414084185117</v>
      </c>
      <c r="Z21" s="88">
        <f>'Peajes Circular CNMC'!$H$35</f>
        <v>0.26106499999999999</v>
      </c>
      <c r="AA21" s="122">
        <f t="shared" si="19"/>
        <v>65.266249999999999</v>
      </c>
      <c r="AB21" s="98">
        <f>VLOOKUP(T21,'Peajes Circular CNMC'!$B$13:$J$23,7,FALSE)</f>
        <v>0</v>
      </c>
      <c r="AC21" s="87">
        <f>VLOOKUP(T21,'Peajes Circular CNMC'!$B$13:$J$23,8,FALSE)</f>
        <v>45.389000000000003</v>
      </c>
      <c r="AD21" s="87">
        <f>VLOOKUP(T21,'Peajes Circular CNMC'!$B$13:$J$23,9,FALSE)</f>
        <v>14.335000000000001</v>
      </c>
      <c r="AE21" s="123">
        <f t="shared" si="4"/>
        <v>0</v>
      </c>
      <c r="AF21" s="123">
        <f t="shared" si="20"/>
        <v>544.66800000000001</v>
      </c>
      <c r="AG21" s="123">
        <f t="shared" si="5"/>
        <v>3583.75</v>
      </c>
      <c r="AH21" s="122">
        <f t="shared" si="21"/>
        <v>4128.4179999999997</v>
      </c>
      <c r="AI21" s="124">
        <f t="shared" si="22"/>
        <v>4723.9183908418509</v>
      </c>
      <c r="AJ21" s="79">
        <f t="shared" si="6"/>
        <v>18.895673563367403</v>
      </c>
      <c r="AK21" s="67"/>
      <c r="AL21" s="75">
        <f t="shared" si="7"/>
        <v>-0.10566107243794019</v>
      </c>
      <c r="AM21" s="100">
        <f t="shared" si="8"/>
        <v>0.35349532052769617</v>
      </c>
      <c r="AN21" s="125">
        <f t="shared" si="9"/>
        <v>1080.8500132514137</v>
      </c>
      <c r="AO21" s="100">
        <f t="shared" si="10"/>
        <v>0.29668672152848774</v>
      </c>
      <c r="AP21" s="192">
        <f t="shared" si="23"/>
        <v>4.3234000530056544</v>
      </c>
    </row>
    <row r="22" spans="2:42">
      <c r="B22" s="105">
        <v>500</v>
      </c>
      <c r="C22" s="112">
        <f>IF($C$5&lt;&gt;"Memoria CNMC",$C$5,IF(B22&gt;'Tipología Clientes'!$C$16,'Tipología Clientes'!$L$16,IF(B22&gt;'Tipología Clientes'!$C$15,'Tipología Clientes'!$L$15,IF(B22&gt;'Tipología Clientes'!$C$14,'Tipología Clientes'!$L$14,IF(B22&gt;'Tipología Clientes'!$C$13,'Tipología Clientes'!$L$13,IF(B22&gt;'Tipología Clientes'!$C$12,'Tipología Clientes'!$L$12,IF(B22&gt;'Tipología Clientes'!$C$11,'Tipología Clientes'!$L$11,IF(B22&gt;'Tipología Clientes'!$C$10,'Tipología Clientes'!$L$10,IF(B22&gt;'Tipología Clientes'!$C$9,'Tipología Clientes'!$L$9,IF(B22&gt;'Tipología Clientes'!$C$8,'Tipología Clientes'!$L$8,IF(B22&gt;'Tipología Clientes'!$C$7,'Tipología Clientes'!$L$7,'Tipología Clientes'!$L$6)))))))))))</f>
        <v>0.41959262584789264</v>
      </c>
      <c r="D22" s="113">
        <f t="shared" si="24"/>
        <v>3.264745205973238</v>
      </c>
      <c r="E22" s="76" t="str">
        <f>IF(B22&gt;'Peajes Actuales'!$C$14,'Peajes Actuales'!$B$14,IF(B22&gt;'Peajes Actuales'!$C$13,'Peajes Actuales'!$B$13,IF(B22&gt;'Peajes Actuales'!$C$12,'Peajes Actuales'!$B$12,'Peajes Actuales'!$B$11)))</f>
        <v>3.4</v>
      </c>
      <c r="F22" s="88">
        <f>'Peajes Actuales'!$H$36</f>
        <v>28.805999999999997</v>
      </c>
      <c r="G22" s="88">
        <f>'Peajes Actuales'!$I$36</f>
        <v>0.17100000000000001</v>
      </c>
      <c r="H22" s="123">
        <f t="shared" si="25"/>
        <v>1128.5310048391809</v>
      </c>
      <c r="I22" s="123">
        <f t="shared" si="26"/>
        <v>85.5</v>
      </c>
      <c r="J22" s="122">
        <f t="shared" si="27"/>
        <v>1214.0310048391809</v>
      </c>
      <c r="K22" s="88">
        <f>VLOOKUP(E22,'Peajes Actuales'!$B$11:$L$14,11,FALSE)</f>
        <v>0.72199999999999998</v>
      </c>
      <c r="L22" s="87">
        <f>VLOOKUP(E22,'Peajes Actuales'!$B$11:$J$14,8,FALSE)*K22</f>
        <v>58.460339999999995</v>
      </c>
      <c r="M22" s="90">
        <f>VLOOKUP(E22,'Peajes Actuales'!$B$11:$J$14,9,FALSE)*K22</f>
        <v>9.3946640000000006</v>
      </c>
      <c r="N22" s="123">
        <f t="shared" si="28"/>
        <v>701.52407999999991</v>
      </c>
      <c r="O22" s="123">
        <f t="shared" si="29"/>
        <v>4697.3320000000003</v>
      </c>
      <c r="P22" s="122">
        <f t="shared" si="30"/>
        <v>5398.8560800000005</v>
      </c>
      <c r="Q22" s="124">
        <f t="shared" si="31"/>
        <v>6612.8870848391816</v>
      </c>
      <c r="R22" s="79">
        <f t="shared" si="32"/>
        <v>13.225774169678363</v>
      </c>
      <c r="T22" s="76" t="str">
        <f>IF(B22&gt;'Peajes Circular CNMC'!$C$23,'Peajes Circular CNMC'!$B$23,IF(B22&gt;'Peajes Circular CNMC'!$C$22,'Peajes Circular CNMC'!$B$22,IF(B22&gt;'Peajes Circular CNMC'!$C$21,'Peajes Circular CNMC'!$B$21,IF(B22&gt;'Peajes Circular CNMC'!$C$20,'Peajes Circular CNMC'!$B$20,IF(B22&gt;'Peajes Circular CNMC'!$C$19,'Peajes Circular CNMC'!$B$19,IF(B22&gt;'Peajes Circular CNMC'!$C$18,'Peajes Circular CNMC'!$B$18,IF(B22&gt;'Peajes Circular CNMC'!$C$17,'Peajes Circular CNMC'!$B$17,IF(B22&gt;'Peajes Circular CNMC'!$C$16,'Peajes Circular CNMC'!$B$16,IF(B22&gt;'Peajes Circular CNMC'!$C$15,'Peajes Circular CNMC'!$B$15,IF(B22&gt;'Peajes Circular CNMC'!$C$14,'Peajes Circular CNMC'!$B$14,'Peajes Circular CNMC'!$B$13))))))))))</f>
        <v>D.5</v>
      </c>
      <c r="U22" s="96">
        <f>'Peajes Circular CNMC'!$H$42</f>
        <v>26.201279999999997</v>
      </c>
      <c r="V22" s="88">
        <f>'Peajes Circular CNMC'!$I$42</f>
        <v>0.11939999999999999</v>
      </c>
      <c r="W22" s="123">
        <f t="shared" si="2"/>
        <v>1026.4860392443497</v>
      </c>
      <c r="X22" s="123">
        <f t="shared" si="3"/>
        <v>59.699999999999996</v>
      </c>
      <c r="Y22" s="122">
        <f t="shared" si="18"/>
        <v>1086.1860392443498</v>
      </c>
      <c r="Z22" s="88">
        <f>'Peajes Circular CNMC'!$H$35</f>
        <v>0.26106499999999999</v>
      </c>
      <c r="AA22" s="122">
        <f t="shared" si="19"/>
        <v>130.5325</v>
      </c>
      <c r="AB22" s="98">
        <f>VLOOKUP(T22,'Peajes Circular CNMC'!$B$13:$J$23,7,FALSE)</f>
        <v>0</v>
      </c>
      <c r="AC22" s="87">
        <f>VLOOKUP(T22,'Peajes Circular CNMC'!$B$13:$J$23,8,FALSE)</f>
        <v>221.929</v>
      </c>
      <c r="AD22" s="87">
        <f>VLOOKUP(T22,'Peajes Circular CNMC'!$B$13:$J$23,9,FALSE)</f>
        <v>14.445</v>
      </c>
      <c r="AE22" s="123">
        <f t="shared" si="4"/>
        <v>0</v>
      </c>
      <c r="AF22" s="123">
        <f t="shared" si="20"/>
        <v>2663.1480000000001</v>
      </c>
      <c r="AG22" s="123">
        <f t="shared" si="5"/>
        <v>7222.5</v>
      </c>
      <c r="AH22" s="122">
        <f t="shared" si="21"/>
        <v>9885.648000000001</v>
      </c>
      <c r="AI22" s="124">
        <f t="shared" si="22"/>
        <v>11102.366539244351</v>
      </c>
      <c r="AJ22" s="79">
        <f t="shared" si="6"/>
        <v>22.204733078488701</v>
      </c>
      <c r="AK22" s="67"/>
      <c r="AL22" s="75">
        <f t="shared" si="7"/>
        <v>-0.1053061784132658</v>
      </c>
      <c r="AM22" s="100">
        <f t="shared" si="8"/>
        <v>0.83106344260986487</v>
      </c>
      <c r="AN22" s="125">
        <f t="shared" si="9"/>
        <v>4489.4794544051692</v>
      </c>
      <c r="AO22" s="100">
        <f t="shared" si="10"/>
        <v>0.67889855018057499</v>
      </c>
      <c r="AP22" s="192">
        <f t="shared" si="23"/>
        <v>8.9789589088103376</v>
      </c>
    </row>
    <row r="23" spans="2:42">
      <c r="B23" s="105">
        <v>750</v>
      </c>
      <c r="C23" s="112">
        <f>IF($C$5&lt;&gt;"Memoria CNMC",$C$5,IF(B23&gt;'Tipología Clientes'!$C$16,'Tipología Clientes'!$L$16,IF(B23&gt;'Tipología Clientes'!$C$15,'Tipología Clientes'!$L$15,IF(B23&gt;'Tipología Clientes'!$C$14,'Tipología Clientes'!$L$14,IF(B23&gt;'Tipología Clientes'!$C$13,'Tipología Clientes'!$L$13,IF(B23&gt;'Tipología Clientes'!$C$12,'Tipología Clientes'!$L$12,IF(B23&gt;'Tipología Clientes'!$C$11,'Tipología Clientes'!$L$11,IF(B23&gt;'Tipología Clientes'!$C$10,'Tipología Clientes'!$L$10,IF(B23&gt;'Tipología Clientes'!$C$9,'Tipología Clientes'!$L$9,IF(B23&gt;'Tipología Clientes'!$C$8,'Tipología Clientes'!$L$8,IF(B23&gt;'Tipología Clientes'!$C$7,'Tipología Clientes'!$L$7,'Tipología Clientes'!$L$6)))))))))))</f>
        <v>0.41959262584789264</v>
      </c>
      <c r="D23" s="113">
        <f t="shared" si="24"/>
        <v>4.8971178089598579</v>
      </c>
      <c r="E23" s="76" t="str">
        <f>IF(B23&gt;'Peajes Actuales'!$C$14,'Peajes Actuales'!$B$14,IF(B23&gt;'Peajes Actuales'!$C$13,'Peajes Actuales'!$B$13,IF(B23&gt;'Peajes Actuales'!$C$12,'Peajes Actuales'!$B$12,'Peajes Actuales'!$B$11)))</f>
        <v>3.4</v>
      </c>
      <c r="F23" s="88">
        <f>'Peajes Actuales'!$H$36</f>
        <v>28.805999999999997</v>
      </c>
      <c r="G23" s="88">
        <f>'Peajes Actuales'!$I$36</f>
        <v>0.17100000000000001</v>
      </c>
      <c r="H23" s="123">
        <f t="shared" si="25"/>
        <v>1692.7965072587717</v>
      </c>
      <c r="I23" s="123">
        <f t="shared" si="26"/>
        <v>128.25</v>
      </c>
      <c r="J23" s="122">
        <f t="shared" si="27"/>
        <v>1821.0465072587717</v>
      </c>
      <c r="K23" s="88">
        <f>VLOOKUP(E23,'Peajes Actuales'!$B$11:$L$14,11,FALSE)</f>
        <v>0.72199999999999998</v>
      </c>
      <c r="L23" s="87">
        <f>VLOOKUP(E23,'Peajes Actuales'!$B$11:$J$14,8,FALSE)*K23</f>
        <v>58.460339999999995</v>
      </c>
      <c r="M23" s="90">
        <f>VLOOKUP(E23,'Peajes Actuales'!$B$11:$J$14,9,FALSE)*K23</f>
        <v>9.3946640000000006</v>
      </c>
      <c r="N23" s="123">
        <f t="shared" si="28"/>
        <v>701.52407999999991</v>
      </c>
      <c r="O23" s="123">
        <f t="shared" si="29"/>
        <v>7045.9980000000005</v>
      </c>
      <c r="P23" s="122">
        <f t="shared" si="30"/>
        <v>7747.5220800000006</v>
      </c>
      <c r="Q23" s="124">
        <f t="shared" si="31"/>
        <v>9568.5685872587728</v>
      </c>
      <c r="R23" s="79">
        <f t="shared" si="32"/>
        <v>12.758091449678364</v>
      </c>
      <c r="T23" s="76" t="str">
        <f>IF(B23&gt;'Peajes Circular CNMC'!$C$23,'Peajes Circular CNMC'!$B$23,IF(B23&gt;'Peajes Circular CNMC'!$C$22,'Peajes Circular CNMC'!$B$22,IF(B23&gt;'Peajes Circular CNMC'!$C$21,'Peajes Circular CNMC'!$B$21,IF(B23&gt;'Peajes Circular CNMC'!$C$20,'Peajes Circular CNMC'!$B$20,IF(B23&gt;'Peajes Circular CNMC'!$C$19,'Peajes Circular CNMC'!$B$19,IF(B23&gt;'Peajes Circular CNMC'!$C$18,'Peajes Circular CNMC'!$B$18,IF(B23&gt;'Peajes Circular CNMC'!$C$17,'Peajes Circular CNMC'!$B$17,IF(B23&gt;'Peajes Circular CNMC'!$C$16,'Peajes Circular CNMC'!$B$16,IF(B23&gt;'Peajes Circular CNMC'!$C$15,'Peajes Circular CNMC'!$B$15,IF(B23&gt;'Peajes Circular CNMC'!$C$14,'Peajes Circular CNMC'!$B$14,'Peajes Circular CNMC'!$B$13))))))))))</f>
        <v>D.5</v>
      </c>
      <c r="U23" s="96">
        <f>'Peajes Circular CNMC'!$H$42</f>
        <v>26.201279999999997</v>
      </c>
      <c r="V23" s="88">
        <f>'Peajes Circular CNMC'!$I$42</f>
        <v>0.11939999999999999</v>
      </c>
      <c r="W23" s="123">
        <f t="shared" si="2"/>
        <v>1539.7290588665248</v>
      </c>
      <c r="X23" s="123">
        <f t="shared" si="3"/>
        <v>89.55</v>
      </c>
      <c r="Y23" s="122">
        <f t="shared" si="18"/>
        <v>1629.2790588665248</v>
      </c>
      <c r="Z23" s="88">
        <f>'Peajes Circular CNMC'!$H$35</f>
        <v>0.26106499999999999</v>
      </c>
      <c r="AA23" s="122">
        <f t="shared" si="19"/>
        <v>195.79874999999998</v>
      </c>
      <c r="AB23" s="98">
        <f>VLOOKUP(T23,'Peajes Circular CNMC'!$B$13:$J$23,7,FALSE)</f>
        <v>0</v>
      </c>
      <c r="AC23" s="87">
        <f>VLOOKUP(T23,'Peajes Circular CNMC'!$B$13:$J$23,8,FALSE)</f>
        <v>221.929</v>
      </c>
      <c r="AD23" s="87">
        <f>VLOOKUP(T23,'Peajes Circular CNMC'!$B$13:$J$23,9,FALSE)</f>
        <v>14.445</v>
      </c>
      <c r="AE23" s="123">
        <f t="shared" si="4"/>
        <v>0</v>
      </c>
      <c r="AF23" s="123">
        <f t="shared" si="20"/>
        <v>2663.1480000000001</v>
      </c>
      <c r="AG23" s="123">
        <f t="shared" si="5"/>
        <v>10833.75</v>
      </c>
      <c r="AH23" s="122">
        <f t="shared" si="21"/>
        <v>13496.898000000001</v>
      </c>
      <c r="AI23" s="124">
        <f t="shared" si="22"/>
        <v>15321.975808866526</v>
      </c>
      <c r="AJ23" s="79">
        <f t="shared" si="6"/>
        <v>20.429301078488702</v>
      </c>
      <c r="AK23" s="67"/>
      <c r="AL23" s="75">
        <f t="shared" si="7"/>
        <v>-0.10530617841326591</v>
      </c>
      <c r="AM23" s="100">
        <f t="shared" si="8"/>
        <v>0.74209222776426087</v>
      </c>
      <c r="AN23" s="125">
        <f t="shared" si="9"/>
        <v>5753.4072216077529</v>
      </c>
      <c r="AO23" s="100">
        <f t="shared" si="10"/>
        <v>0.60128191266443154</v>
      </c>
      <c r="AP23" s="192">
        <f t="shared" si="23"/>
        <v>7.6712096288103382</v>
      </c>
    </row>
    <row r="24" spans="2:42">
      <c r="B24" s="105">
        <v>1000</v>
      </c>
      <c r="C24" s="112">
        <f>IF($C$5&lt;&gt;"Memoria CNMC",$C$5,IF(B24&gt;'Tipología Clientes'!$C$16,'Tipología Clientes'!$L$16,IF(B24&gt;'Tipología Clientes'!$C$15,'Tipología Clientes'!$L$15,IF(B24&gt;'Tipología Clientes'!$C$14,'Tipología Clientes'!$L$14,IF(B24&gt;'Tipología Clientes'!$C$13,'Tipología Clientes'!$L$13,IF(B24&gt;'Tipología Clientes'!$C$12,'Tipología Clientes'!$L$12,IF(B24&gt;'Tipología Clientes'!$C$11,'Tipología Clientes'!$L$11,IF(B24&gt;'Tipología Clientes'!$C$10,'Tipología Clientes'!$L$10,IF(B24&gt;'Tipología Clientes'!$C$9,'Tipología Clientes'!$L$9,IF(B24&gt;'Tipología Clientes'!$C$8,'Tipología Clientes'!$L$8,IF(B24&gt;'Tipología Clientes'!$C$7,'Tipología Clientes'!$L$7,'Tipología Clientes'!$L$6)))))))))))</f>
        <v>0.41959262584789264</v>
      </c>
      <c r="D24" s="113">
        <f t="shared" si="24"/>
        <v>6.5294904119464761</v>
      </c>
      <c r="E24" s="76" t="str">
        <f>IF(B24&gt;'Peajes Actuales'!$C$14,'Peajes Actuales'!$B$14,IF(B24&gt;'Peajes Actuales'!$C$13,'Peajes Actuales'!$B$13,IF(B24&gt;'Peajes Actuales'!$C$12,'Peajes Actuales'!$B$12,'Peajes Actuales'!$B$11)))</f>
        <v>3.4</v>
      </c>
      <c r="F24" s="88">
        <f>'Peajes Actuales'!$H$36</f>
        <v>28.805999999999997</v>
      </c>
      <c r="G24" s="88">
        <f>'Peajes Actuales'!$I$36</f>
        <v>0.17100000000000001</v>
      </c>
      <c r="H24" s="123">
        <f t="shared" si="25"/>
        <v>2257.0620096783618</v>
      </c>
      <c r="I24" s="123">
        <f t="shared" si="26"/>
        <v>171</v>
      </c>
      <c r="J24" s="122">
        <f t="shared" si="27"/>
        <v>2428.0620096783618</v>
      </c>
      <c r="K24" s="88">
        <f>VLOOKUP(E24,'Peajes Actuales'!$B$11:$L$14,11,FALSE)</f>
        <v>0.72199999999999998</v>
      </c>
      <c r="L24" s="87">
        <f>VLOOKUP(E24,'Peajes Actuales'!$B$11:$J$14,8,FALSE)*K24</f>
        <v>58.460339999999995</v>
      </c>
      <c r="M24" s="90">
        <f>VLOOKUP(E24,'Peajes Actuales'!$B$11:$J$14,9,FALSE)*K24</f>
        <v>9.3946640000000006</v>
      </c>
      <c r="N24" s="123">
        <f t="shared" si="28"/>
        <v>701.52407999999991</v>
      </c>
      <c r="O24" s="123">
        <f t="shared" si="29"/>
        <v>9394.6640000000007</v>
      </c>
      <c r="P24" s="122">
        <f t="shared" si="30"/>
        <v>10096.18808</v>
      </c>
      <c r="Q24" s="124">
        <f t="shared" si="31"/>
        <v>12524.250089678362</v>
      </c>
      <c r="R24" s="79">
        <f t="shared" si="32"/>
        <v>12.524250089678363</v>
      </c>
      <c r="T24" s="76" t="str">
        <f>IF(B24&gt;'Peajes Circular CNMC'!$C$23,'Peajes Circular CNMC'!$B$23,IF(B24&gt;'Peajes Circular CNMC'!$C$22,'Peajes Circular CNMC'!$B$22,IF(B24&gt;'Peajes Circular CNMC'!$C$21,'Peajes Circular CNMC'!$B$21,IF(B24&gt;'Peajes Circular CNMC'!$C$20,'Peajes Circular CNMC'!$B$20,IF(B24&gt;'Peajes Circular CNMC'!$C$19,'Peajes Circular CNMC'!$B$19,IF(B24&gt;'Peajes Circular CNMC'!$C$18,'Peajes Circular CNMC'!$B$18,IF(B24&gt;'Peajes Circular CNMC'!$C$17,'Peajes Circular CNMC'!$B$17,IF(B24&gt;'Peajes Circular CNMC'!$C$16,'Peajes Circular CNMC'!$B$16,IF(B24&gt;'Peajes Circular CNMC'!$C$15,'Peajes Circular CNMC'!$B$15,IF(B24&gt;'Peajes Circular CNMC'!$C$14,'Peajes Circular CNMC'!$B$14,'Peajes Circular CNMC'!$B$13))))))))))</f>
        <v>D.5</v>
      </c>
      <c r="U24" s="96">
        <f>'Peajes Circular CNMC'!$H$42</f>
        <v>26.201279999999997</v>
      </c>
      <c r="V24" s="88">
        <f>'Peajes Circular CNMC'!$I$42</f>
        <v>0.11939999999999999</v>
      </c>
      <c r="W24" s="123">
        <f t="shared" si="2"/>
        <v>2052.9720784886995</v>
      </c>
      <c r="X24" s="123">
        <f t="shared" si="3"/>
        <v>119.39999999999999</v>
      </c>
      <c r="Y24" s="122">
        <f t="shared" si="18"/>
        <v>2172.3720784886996</v>
      </c>
      <c r="Z24" s="88">
        <f>'Peajes Circular CNMC'!$H$35</f>
        <v>0.26106499999999999</v>
      </c>
      <c r="AA24" s="122">
        <f t="shared" si="19"/>
        <v>261.065</v>
      </c>
      <c r="AB24" s="98">
        <f>VLOOKUP(T24,'Peajes Circular CNMC'!$B$13:$J$23,7,FALSE)</f>
        <v>0</v>
      </c>
      <c r="AC24" s="87">
        <f>VLOOKUP(T24,'Peajes Circular CNMC'!$B$13:$J$23,8,FALSE)</f>
        <v>221.929</v>
      </c>
      <c r="AD24" s="87">
        <f>VLOOKUP(T24,'Peajes Circular CNMC'!$B$13:$J$23,9,FALSE)</f>
        <v>14.445</v>
      </c>
      <c r="AE24" s="123">
        <f t="shared" si="4"/>
        <v>0</v>
      </c>
      <c r="AF24" s="123">
        <f t="shared" si="20"/>
        <v>2663.1480000000001</v>
      </c>
      <c r="AG24" s="123">
        <f t="shared" si="5"/>
        <v>14445</v>
      </c>
      <c r="AH24" s="122">
        <f t="shared" si="21"/>
        <v>17108.148000000001</v>
      </c>
      <c r="AI24" s="124">
        <f t="shared" si="22"/>
        <v>19541.585078488701</v>
      </c>
      <c r="AJ24" s="79">
        <f t="shared" si="6"/>
        <v>19.541585078488701</v>
      </c>
      <c r="AK24" s="67"/>
      <c r="AL24" s="75">
        <f t="shared" si="7"/>
        <v>-0.1053061784132658</v>
      </c>
      <c r="AM24" s="100">
        <f t="shared" si="8"/>
        <v>0.69451557998313374</v>
      </c>
      <c r="AN24" s="125">
        <f t="shared" si="9"/>
        <v>7017.3349888103385</v>
      </c>
      <c r="AO24" s="100">
        <f t="shared" si="10"/>
        <v>0.56029981344699831</v>
      </c>
      <c r="AP24" s="192">
        <f t="shared" si="23"/>
        <v>7.0173349888103385</v>
      </c>
    </row>
    <row r="25" spans="2:42">
      <c r="B25" s="105">
        <v>1500</v>
      </c>
      <c r="C25" s="112">
        <f>IF($C$5&lt;&gt;"Memoria CNMC",$C$5,IF(B25&gt;'Tipología Clientes'!$C$16,'Tipología Clientes'!$L$16,IF(B25&gt;'Tipología Clientes'!$C$15,'Tipología Clientes'!$L$15,IF(B25&gt;'Tipología Clientes'!$C$14,'Tipología Clientes'!$L$14,IF(B25&gt;'Tipología Clientes'!$C$13,'Tipología Clientes'!$L$13,IF(B25&gt;'Tipología Clientes'!$C$12,'Tipología Clientes'!$L$12,IF(B25&gt;'Tipología Clientes'!$C$11,'Tipología Clientes'!$L$11,IF(B25&gt;'Tipología Clientes'!$C$10,'Tipología Clientes'!$L$10,IF(B25&gt;'Tipología Clientes'!$C$9,'Tipología Clientes'!$L$9,IF(B25&gt;'Tipología Clientes'!$C$8,'Tipología Clientes'!$L$8,IF(B25&gt;'Tipología Clientes'!$C$7,'Tipología Clientes'!$L$7,'Tipología Clientes'!$L$6)))))))))))</f>
        <v>0.41959262584789264</v>
      </c>
      <c r="D25" s="113">
        <f t="shared" si="24"/>
        <v>9.7942356179197159</v>
      </c>
      <c r="E25" s="76" t="str">
        <f>IF(B25&gt;'Peajes Actuales'!$C$14,'Peajes Actuales'!$B$14,IF(B25&gt;'Peajes Actuales'!$C$13,'Peajes Actuales'!$B$13,IF(B25&gt;'Peajes Actuales'!$C$12,'Peajes Actuales'!$B$12,'Peajes Actuales'!$B$11)))</f>
        <v>3.4</v>
      </c>
      <c r="F25" s="88">
        <f>'Peajes Actuales'!$H$36</f>
        <v>28.805999999999997</v>
      </c>
      <c r="G25" s="88">
        <f>'Peajes Actuales'!$I$36</f>
        <v>0.17100000000000001</v>
      </c>
      <c r="H25" s="123">
        <f t="shared" si="25"/>
        <v>3385.5930145175435</v>
      </c>
      <c r="I25" s="123">
        <f t="shared" si="26"/>
        <v>256.5</v>
      </c>
      <c r="J25" s="122">
        <f t="shared" si="27"/>
        <v>3642.0930145175435</v>
      </c>
      <c r="K25" s="88">
        <f>VLOOKUP(E25,'Peajes Actuales'!$B$11:$L$14,11,FALSE)</f>
        <v>0.72199999999999998</v>
      </c>
      <c r="L25" s="87">
        <f>VLOOKUP(E25,'Peajes Actuales'!$B$11:$J$14,8,FALSE)*K25</f>
        <v>58.460339999999995</v>
      </c>
      <c r="M25" s="90">
        <f>VLOOKUP(E25,'Peajes Actuales'!$B$11:$J$14,9,FALSE)*K25</f>
        <v>9.3946640000000006</v>
      </c>
      <c r="N25" s="123">
        <f t="shared" si="28"/>
        <v>701.52407999999991</v>
      </c>
      <c r="O25" s="123">
        <f t="shared" si="29"/>
        <v>14091.996000000001</v>
      </c>
      <c r="P25" s="122">
        <f t="shared" si="30"/>
        <v>14793.52008</v>
      </c>
      <c r="Q25" s="124">
        <f t="shared" si="31"/>
        <v>18435.613094517543</v>
      </c>
      <c r="R25" s="79">
        <f t="shared" si="32"/>
        <v>12.290408729678362</v>
      </c>
      <c r="T25" s="76" t="str">
        <f>IF(B25&gt;'Peajes Circular CNMC'!$C$23,'Peajes Circular CNMC'!$B$23,IF(B25&gt;'Peajes Circular CNMC'!$C$22,'Peajes Circular CNMC'!$B$22,IF(B25&gt;'Peajes Circular CNMC'!$C$21,'Peajes Circular CNMC'!$B$21,IF(B25&gt;'Peajes Circular CNMC'!$C$20,'Peajes Circular CNMC'!$B$20,IF(B25&gt;'Peajes Circular CNMC'!$C$19,'Peajes Circular CNMC'!$B$19,IF(B25&gt;'Peajes Circular CNMC'!$C$18,'Peajes Circular CNMC'!$B$18,IF(B25&gt;'Peajes Circular CNMC'!$C$17,'Peajes Circular CNMC'!$B$17,IF(B25&gt;'Peajes Circular CNMC'!$C$16,'Peajes Circular CNMC'!$B$16,IF(B25&gt;'Peajes Circular CNMC'!$C$15,'Peajes Circular CNMC'!$B$15,IF(B25&gt;'Peajes Circular CNMC'!$C$14,'Peajes Circular CNMC'!$B$14,'Peajes Circular CNMC'!$B$13))))))))))</f>
        <v>D.5</v>
      </c>
      <c r="U25" s="96">
        <f>'Peajes Circular CNMC'!$H$42</f>
        <v>26.201279999999997</v>
      </c>
      <c r="V25" s="88">
        <f>'Peajes Circular CNMC'!$I$42</f>
        <v>0.11939999999999999</v>
      </c>
      <c r="W25" s="123">
        <f t="shared" si="2"/>
        <v>3079.4581177330497</v>
      </c>
      <c r="X25" s="123">
        <f t="shared" si="3"/>
        <v>179.1</v>
      </c>
      <c r="Y25" s="122">
        <f t="shared" si="18"/>
        <v>3258.5581177330496</v>
      </c>
      <c r="Z25" s="88">
        <f>'Peajes Circular CNMC'!$H$35</f>
        <v>0.26106499999999999</v>
      </c>
      <c r="AA25" s="122">
        <f t="shared" si="19"/>
        <v>391.59749999999997</v>
      </c>
      <c r="AB25" s="98">
        <f>VLOOKUP(T25,'Peajes Circular CNMC'!$B$13:$J$23,7,FALSE)</f>
        <v>0</v>
      </c>
      <c r="AC25" s="87">
        <f>VLOOKUP(T25,'Peajes Circular CNMC'!$B$13:$J$23,8,FALSE)</f>
        <v>221.929</v>
      </c>
      <c r="AD25" s="87">
        <f>VLOOKUP(T25,'Peajes Circular CNMC'!$B$13:$J$23,9,FALSE)</f>
        <v>14.445</v>
      </c>
      <c r="AE25" s="123">
        <f t="shared" si="4"/>
        <v>0</v>
      </c>
      <c r="AF25" s="123">
        <f t="shared" si="20"/>
        <v>2663.1480000000001</v>
      </c>
      <c r="AG25" s="123">
        <f t="shared" si="5"/>
        <v>21667.5</v>
      </c>
      <c r="AH25" s="122">
        <f t="shared" si="21"/>
        <v>24330.648000000001</v>
      </c>
      <c r="AI25" s="124">
        <f t="shared" si="22"/>
        <v>27980.80361773305</v>
      </c>
      <c r="AJ25" s="79">
        <f t="shared" si="6"/>
        <v>18.6538690784887</v>
      </c>
      <c r="AK25" s="67"/>
      <c r="AL25" s="75">
        <f t="shared" si="7"/>
        <v>-0.10530617841326591</v>
      </c>
      <c r="AM25" s="100">
        <f t="shared" si="8"/>
        <v>0.64468279817280649</v>
      </c>
      <c r="AN25" s="125">
        <f t="shared" si="9"/>
        <v>9545.1905232155077</v>
      </c>
      <c r="AO25" s="100">
        <f t="shared" si="10"/>
        <v>0.51775823642415753</v>
      </c>
      <c r="AP25" s="192">
        <f t="shared" si="23"/>
        <v>6.3634603488103387</v>
      </c>
    </row>
    <row r="26" spans="2:42">
      <c r="B26" s="105">
        <v>2000</v>
      </c>
      <c r="C26" s="112">
        <f>IF($C$5&lt;&gt;"Memoria CNMC",$C$5,IF(B26&gt;'Tipología Clientes'!$C$16,'Tipología Clientes'!$L$16,IF(B26&gt;'Tipología Clientes'!$C$15,'Tipología Clientes'!$L$15,IF(B26&gt;'Tipología Clientes'!$C$14,'Tipología Clientes'!$L$14,IF(B26&gt;'Tipología Clientes'!$C$13,'Tipología Clientes'!$L$13,IF(B26&gt;'Tipología Clientes'!$C$12,'Tipología Clientes'!$L$12,IF(B26&gt;'Tipología Clientes'!$C$11,'Tipología Clientes'!$L$11,IF(B26&gt;'Tipología Clientes'!$C$10,'Tipología Clientes'!$L$10,IF(B26&gt;'Tipología Clientes'!$C$9,'Tipología Clientes'!$L$9,IF(B26&gt;'Tipología Clientes'!$C$8,'Tipología Clientes'!$L$8,IF(B26&gt;'Tipología Clientes'!$C$7,'Tipología Clientes'!$L$7,'Tipología Clientes'!$L$6)))))))))))</f>
        <v>0.46606774195113709</v>
      </c>
      <c r="D26" s="113">
        <f t="shared" si="24"/>
        <v>11.756771734202086</v>
      </c>
      <c r="E26" s="76" t="str">
        <f>IF(B26&gt;'Peajes Actuales'!$C$14,'Peajes Actuales'!$B$14,IF(B26&gt;'Peajes Actuales'!$C$13,'Peajes Actuales'!$B$13,IF(B26&gt;'Peajes Actuales'!$C$12,'Peajes Actuales'!$B$12,'Peajes Actuales'!$B$11)))</f>
        <v>3.4</v>
      </c>
      <c r="F26" s="88">
        <f>'Peajes Actuales'!$H$36</f>
        <v>28.805999999999997</v>
      </c>
      <c r="G26" s="88">
        <f>'Peajes Actuales'!$I$36</f>
        <v>0.17100000000000001</v>
      </c>
      <c r="H26" s="123">
        <f t="shared" si="25"/>
        <v>4063.9867989051031</v>
      </c>
      <c r="I26" s="123">
        <f t="shared" si="26"/>
        <v>342</v>
      </c>
      <c r="J26" s="122">
        <f t="shared" si="27"/>
        <v>4405.9867989051036</v>
      </c>
      <c r="K26" s="88">
        <f>VLOOKUP(E26,'Peajes Actuales'!$B$11:$L$14,11,FALSE)</f>
        <v>0.72199999999999998</v>
      </c>
      <c r="L26" s="87">
        <f>VLOOKUP(E26,'Peajes Actuales'!$B$11:$J$14,8,FALSE)*K26</f>
        <v>58.460339999999995</v>
      </c>
      <c r="M26" s="90">
        <f>VLOOKUP(E26,'Peajes Actuales'!$B$11:$J$14,9,FALSE)*K26</f>
        <v>9.3946640000000006</v>
      </c>
      <c r="N26" s="123">
        <f t="shared" si="28"/>
        <v>701.52407999999991</v>
      </c>
      <c r="O26" s="123">
        <f t="shared" si="29"/>
        <v>18789.328000000001</v>
      </c>
      <c r="P26" s="122">
        <f t="shared" si="30"/>
        <v>19490.852080000001</v>
      </c>
      <c r="Q26" s="124">
        <f t="shared" si="31"/>
        <v>23896.838878905102</v>
      </c>
      <c r="R26" s="79">
        <f t="shared" si="32"/>
        <v>11.948419439452552</v>
      </c>
      <c r="T26" s="76" t="str">
        <f>IF(B26&gt;'Peajes Circular CNMC'!$C$23,'Peajes Circular CNMC'!$B$23,IF(B26&gt;'Peajes Circular CNMC'!$C$22,'Peajes Circular CNMC'!$B$22,IF(B26&gt;'Peajes Circular CNMC'!$C$21,'Peajes Circular CNMC'!$B$21,IF(B26&gt;'Peajes Circular CNMC'!$C$20,'Peajes Circular CNMC'!$B$20,IF(B26&gt;'Peajes Circular CNMC'!$C$19,'Peajes Circular CNMC'!$B$19,IF(B26&gt;'Peajes Circular CNMC'!$C$18,'Peajes Circular CNMC'!$B$18,IF(B26&gt;'Peajes Circular CNMC'!$C$17,'Peajes Circular CNMC'!$B$17,IF(B26&gt;'Peajes Circular CNMC'!$C$16,'Peajes Circular CNMC'!$B$16,IF(B26&gt;'Peajes Circular CNMC'!$C$15,'Peajes Circular CNMC'!$B$15,IF(B26&gt;'Peajes Circular CNMC'!$C$14,'Peajes Circular CNMC'!$B$14,'Peajes Circular CNMC'!$B$13))))))))))</f>
        <v>D.6</v>
      </c>
      <c r="U26" s="96">
        <f>'Peajes Circular CNMC'!$H$42</f>
        <v>26.201279999999997</v>
      </c>
      <c r="V26" s="88">
        <f>'Peajes Circular CNMC'!$I$42</f>
        <v>0.11939999999999999</v>
      </c>
      <c r="W26" s="123">
        <f t="shared" si="2"/>
        <v>3696.509617246973</v>
      </c>
      <c r="X26" s="123">
        <f t="shared" si="3"/>
        <v>238.79999999999998</v>
      </c>
      <c r="Y26" s="122">
        <f t="shared" si="18"/>
        <v>3935.3096172469732</v>
      </c>
      <c r="Z26" s="88">
        <f>'Peajes Circular CNMC'!$H$35</f>
        <v>0.26106499999999999</v>
      </c>
      <c r="AA26" s="122">
        <f t="shared" si="19"/>
        <v>522.13</v>
      </c>
      <c r="AB26" s="98">
        <f>VLOOKUP(T26,'Peajes Circular CNMC'!$B$13:$J$23,7,FALSE)</f>
        <v>0</v>
      </c>
      <c r="AC26" s="87">
        <f>VLOOKUP(T26,'Peajes Circular CNMC'!$B$13:$J$23,8,FALSE)</f>
        <v>1110.8520000000001</v>
      </c>
      <c r="AD26" s="87">
        <f>VLOOKUP(T26,'Peajes Circular CNMC'!$B$13:$J$23,9,FALSE)</f>
        <v>8.702</v>
      </c>
      <c r="AE26" s="123">
        <f t="shared" si="4"/>
        <v>0</v>
      </c>
      <c r="AF26" s="123">
        <f t="shared" si="20"/>
        <v>13330.224000000002</v>
      </c>
      <c r="AG26" s="123">
        <f t="shared" si="5"/>
        <v>17404</v>
      </c>
      <c r="AH26" s="122">
        <f t="shared" si="21"/>
        <v>30734.224000000002</v>
      </c>
      <c r="AI26" s="124">
        <f t="shared" si="22"/>
        <v>35191.663617246973</v>
      </c>
      <c r="AJ26" s="79">
        <f t="shared" si="6"/>
        <v>17.595831808623487</v>
      </c>
      <c r="AK26" s="67"/>
      <c r="AL26" s="75">
        <f t="shared" si="7"/>
        <v>-0.10682673442759624</v>
      </c>
      <c r="AM26" s="100">
        <f t="shared" si="8"/>
        <v>0.57685379140181747</v>
      </c>
      <c r="AN26" s="125">
        <f t="shared" si="9"/>
        <v>11294.824738341871</v>
      </c>
      <c r="AO26" s="100">
        <f t="shared" si="10"/>
        <v>0.47264932385313774</v>
      </c>
      <c r="AP26" s="192">
        <f t="shared" si="23"/>
        <v>5.6474123691709348</v>
      </c>
    </row>
    <row r="27" spans="2:42">
      <c r="B27" s="105">
        <v>3000</v>
      </c>
      <c r="C27" s="112">
        <f>IF($C$5&lt;&gt;"Memoria CNMC",$C$5,IF(B27&gt;'Tipología Clientes'!$C$16,'Tipología Clientes'!$L$16,IF(B27&gt;'Tipología Clientes'!$C$15,'Tipología Clientes'!$L$15,IF(B27&gt;'Tipología Clientes'!$C$14,'Tipología Clientes'!$L$14,IF(B27&gt;'Tipología Clientes'!$C$13,'Tipología Clientes'!$L$13,IF(B27&gt;'Tipología Clientes'!$C$12,'Tipología Clientes'!$L$12,IF(B27&gt;'Tipología Clientes'!$C$11,'Tipología Clientes'!$L$11,IF(B27&gt;'Tipología Clientes'!$C$10,'Tipología Clientes'!$L$10,IF(B27&gt;'Tipología Clientes'!$C$9,'Tipología Clientes'!$L$9,IF(B27&gt;'Tipología Clientes'!$C$8,'Tipología Clientes'!$L$8,IF(B27&gt;'Tipología Clientes'!$C$7,'Tipología Clientes'!$L$7,'Tipología Clientes'!$L$6)))))))))))</f>
        <v>0.46606774195113709</v>
      </c>
      <c r="D27" s="113">
        <f t="shared" si="24"/>
        <v>17.635157601303131</v>
      </c>
      <c r="E27" s="76" t="str">
        <f>IF(B27&gt;'Peajes Actuales'!$C$14,'Peajes Actuales'!$B$14,IF(B27&gt;'Peajes Actuales'!$C$13,'Peajes Actuales'!$B$13,IF(B27&gt;'Peajes Actuales'!$C$12,'Peajes Actuales'!$B$12,'Peajes Actuales'!$B$11)))</f>
        <v>3.4</v>
      </c>
      <c r="F27" s="88">
        <f>'Peajes Actuales'!$H$36</f>
        <v>28.805999999999997</v>
      </c>
      <c r="G27" s="88">
        <f>'Peajes Actuales'!$I$36</f>
        <v>0.17100000000000001</v>
      </c>
      <c r="H27" s="123">
        <f t="shared" si="25"/>
        <v>6095.9801983576554</v>
      </c>
      <c r="I27" s="123">
        <f t="shared" si="26"/>
        <v>513</v>
      </c>
      <c r="J27" s="122">
        <f t="shared" si="27"/>
        <v>6608.9801983576554</v>
      </c>
      <c r="K27" s="88">
        <f>VLOOKUP(E27,'Peajes Actuales'!$B$11:$L$14,11,FALSE)</f>
        <v>0.72199999999999998</v>
      </c>
      <c r="L27" s="87">
        <f>VLOOKUP(E27,'Peajes Actuales'!$B$11:$J$14,8,FALSE)*K27</f>
        <v>58.460339999999995</v>
      </c>
      <c r="M27" s="90">
        <f>VLOOKUP(E27,'Peajes Actuales'!$B$11:$J$14,9,FALSE)*K27</f>
        <v>9.3946640000000006</v>
      </c>
      <c r="N27" s="123">
        <f t="shared" si="28"/>
        <v>701.52407999999991</v>
      </c>
      <c r="O27" s="123">
        <f t="shared" si="29"/>
        <v>28183.992000000002</v>
      </c>
      <c r="P27" s="122">
        <f t="shared" si="30"/>
        <v>28885.516080000001</v>
      </c>
      <c r="Q27" s="124">
        <f t="shared" si="31"/>
        <v>35494.496278357656</v>
      </c>
      <c r="R27" s="79">
        <f t="shared" si="32"/>
        <v>11.831498759452552</v>
      </c>
      <c r="T27" s="76" t="str">
        <f>IF(B27&gt;'Peajes Circular CNMC'!$C$23,'Peajes Circular CNMC'!$B$23,IF(B27&gt;'Peajes Circular CNMC'!$C$22,'Peajes Circular CNMC'!$B$22,IF(B27&gt;'Peajes Circular CNMC'!$C$21,'Peajes Circular CNMC'!$B$21,IF(B27&gt;'Peajes Circular CNMC'!$C$20,'Peajes Circular CNMC'!$B$20,IF(B27&gt;'Peajes Circular CNMC'!$C$19,'Peajes Circular CNMC'!$B$19,IF(B27&gt;'Peajes Circular CNMC'!$C$18,'Peajes Circular CNMC'!$B$18,IF(B27&gt;'Peajes Circular CNMC'!$C$17,'Peajes Circular CNMC'!$B$17,IF(B27&gt;'Peajes Circular CNMC'!$C$16,'Peajes Circular CNMC'!$B$16,IF(B27&gt;'Peajes Circular CNMC'!$C$15,'Peajes Circular CNMC'!$B$15,IF(B27&gt;'Peajes Circular CNMC'!$C$14,'Peajes Circular CNMC'!$B$14,'Peajes Circular CNMC'!$B$13))))))))))</f>
        <v>D.6</v>
      </c>
      <c r="U27" s="96">
        <f>'Peajes Circular CNMC'!$H$42</f>
        <v>26.201279999999997</v>
      </c>
      <c r="V27" s="88">
        <f>'Peajes Circular CNMC'!$I$42</f>
        <v>0.11939999999999999</v>
      </c>
      <c r="W27" s="123">
        <f t="shared" si="2"/>
        <v>5544.7644258704595</v>
      </c>
      <c r="X27" s="123">
        <f t="shared" si="3"/>
        <v>358.2</v>
      </c>
      <c r="Y27" s="122">
        <f t="shared" si="18"/>
        <v>5902.9644258704593</v>
      </c>
      <c r="Z27" s="88">
        <f>'Peajes Circular CNMC'!$H$35</f>
        <v>0.26106499999999999</v>
      </c>
      <c r="AA27" s="122">
        <f t="shared" si="19"/>
        <v>783.19499999999994</v>
      </c>
      <c r="AB27" s="98">
        <f>VLOOKUP(T27,'Peajes Circular CNMC'!$B$13:$J$23,7,FALSE)</f>
        <v>0</v>
      </c>
      <c r="AC27" s="87">
        <f>VLOOKUP(T27,'Peajes Circular CNMC'!$B$13:$J$23,8,FALSE)</f>
        <v>1110.8520000000001</v>
      </c>
      <c r="AD27" s="87">
        <f>VLOOKUP(T27,'Peajes Circular CNMC'!$B$13:$J$23,9,FALSE)</f>
        <v>8.702</v>
      </c>
      <c r="AE27" s="123">
        <f t="shared" si="4"/>
        <v>0</v>
      </c>
      <c r="AF27" s="123">
        <f t="shared" si="20"/>
        <v>13330.224000000002</v>
      </c>
      <c r="AG27" s="123">
        <f t="shared" si="5"/>
        <v>26106</v>
      </c>
      <c r="AH27" s="122">
        <f t="shared" si="21"/>
        <v>39436.224000000002</v>
      </c>
      <c r="AI27" s="124">
        <f t="shared" si="22"/>
        <v>46122.383425870459</v>
      </c>
      <c r="AJ27" s="79">
        <f t="shared" si="6"/>
        <v>15.374127808623486</v>
      </c>
      <c r="AK27" s="67"/>
      <c r="AL27" s="75">
        <f t="shared" si="7"/>
        <v>-0.10682673442759631</v>
      </c>
      <c r="AM27" s="100">
        <f t="shared" si="8"/>
        <v>0.36525945705035157</v>
      </c>
      <c r="AN27" s="125">
        <f t="shared" si="9"/>
        <v>10627.887147512803</v>
      </c>
      <c r="AO27" s="100">
        <f t="shared" si="10"/>
        <v>0.29942352369691272</v>
      </c>
      <c r="AP27" s="192">
        <f t="shared" si="23"/>
        <v>3.5426290491709338</v>
      </c>
    </row>
    <row r="28" spans="2:42">
      <c r="B28" s="105">
        <v>3500</v>
      </c>
      <c r="C28" s="112">
        <f>IF($C$5&lt;&gt;"Memoria CNMC",$C$5,IF(B28&gt;'Tipología Clientes'!$C$16,'Tipología Clientes'!$L$16,IF(B28&gt;'Tipología Clientes'!$C$15,'Tipología Clientes'!$L$15,IF(B28&gt;'Tipología Clientes'!$C$14,'Tipología Clientes'!$L$14,IF(B28&gt;'Tipología Clientes'!$C$13,'Tipología Clientes'!$L$13,IF(B28&gt;'Tipología Clientes'!$C$12,'Tipología Clientes'!$L$12,IF(B28&gt;'Tipología Clientes'!$C$11,'Tipología Clientes'!$L$11,IF(B28&gt;'Tipología Clientes'!$C$10,'Tipología Clientes'!$L$10,IF(B28&gt;'Tipología Clientes'!$C$9,'Tipología Clientes'!$L$9,IF(B28&gt;'Tipología Clientes'!$C$8,'Tipología Clientes'!$L$8,IF(B28&gt;'Tipología Clientes'!$C$7,'Tipología Clientes'!$L$7,'Tipología Clientes'!$L$6)))))))))))</f>
        <v>0.46606774195113709</v>
      </c>
      <c r="D28" s="113">
        <f t="shared" si="24"/>
        <v>20.57435053485365</v>
      </c>
      <c r="E28" s="76" t="str">
        <f>IF(B28&gt;'Peajes Actuales'!$C$14,'Peajes Actuales'!$B$14,IF(B28&gt;'Peajes Actuales'!$C$13,'Peajes Actuales'!$B$13,IF(B28&gt;'Peajes Actuales'!$C$12,'Peajes Actuales'!$B$12,'Peajes Actuales'!$B$11)))</f>
        <v>3.4</v>
      </c>
      <c r="F28" s="88">
        <f>'Peajes Actuales'!$H$36</f>
        <v>28.805999999999997</v>
      </c>
      <c r="G28" s="88">
        <f>'Peajes Actuales'!$I$36</f>
        <v>0.17100000000000001</v>
      </c>
      <c r="H28" s="123">
        <f t="shared" si="25"/>
        <v>7111.9768980839308</v>
      </c>
      <c r="I28" s="123">
        <f t="shared" si="26"/>
        <v>598.5</v>
      </c>
      <c r="J28" s="122">
        <f t="shared" si="27"/>
        <v>7710.4768980839308</v>
      </c>
      <c r="K28" s="88">
        <f>VLOOKUP(E28,'Peajes Actuales'!$B$11:$L$14,11,FALSE)</f>
        <v>0.72199999999999998</v>
      </c>
      <c r="L28" s="87">
        <f>VLOOKUP(E28,'Peajes Actuales'!$B$11:$J$14,8,FALSE)*K28</f>
        <v>58.460339999999995</v>
      </c>
      <c r="M28" s="90">
        <f>VLOOKUP(E28,'Peajes Actuales'!$B$11:$J$14,9,FALSE)*K28</f>
        <v>9.3946640000000006</v>
      </c>
      <c r="N28" s="123">
        <f t="shared" si="28"/>
        <v>701.52407999999991</v>
      </c>
      <c r="O28" s="123">
        <f t="shared" si="29"/>
        <v>32881.324000000001</v>
      </c>
      <c r="P28" s="122">
        <f t="shared" si="30"/>
        <v>33582.848080000003</v>
      </c>
      <c r="Q28" s="124">
        <f t="shared" si="31"/>
        <v>41293.324978083932</v>
      </c>
      <c r="R28" s="79">
        <f t="shared" si="32"/>
        <v>11.798092850881124</v>
      </c>
      <c r="T28" s="76" t="str">
        <f>IF(B28&gt;'Peajes Circular CNMC'!$C$23,'Peajes Circular CNMC'!$B$23,IF(B28&gt;'Peajes Circular CNMC'!$C$22,'Peajes Circular CNMC'!$B$22,IF(B28&gt;'Peajes Circular CNMC'!$C$21,'Peajes Circular CNMC'!$B$21,IF(B28&gt;'Peajes Circular CNMC'!$C$20,'Peajes Circular CNMC'!$B$20,IF(B28&gt;'Peajes Circular CNMC'!$C$19,'Peajes Circular CNMC'!$B$19,IF(B28&gt;'Peajes Circular CNMC'!$C$18,'Peajes Circular CNMC'!$B$18,IF(B28&gt;'Peajes Circular CNMC'!$C$17,'Peajes Circular CNMC'!$B$17,IF(B28&gt;'Peajes Circular CNMC'!$C$16,'Peajes Circular CNMC'!$B$16,IF(B28&gt;'Peajes Circular CNMC'!$C$15,'Peajes Circular CNMC'!$B$15,IF(B28&gt;'Peajes Circular CNMC'!$C$14,'Peajes Circular CNMC'!$B$14,'Peajes Circular CNMC'!$B$13))))))))))</f>
        <v>D.6</v>
      </c>
      <c r="U28" s="96">
        <f>'Peajes Circular CNMC'!$H$42</f>
        <v>26.201279999999997</v>
      </c>
      <c r="V28" s="88">
        <f>'Peajes Circular CNMC'!$I$42</f>
        <v>0.11939999999999999</v>
      </c>
      <c r="W28" s="123">
        <f t="shared" si="2"/>
        <v>6468.8918301822023</v>
      </c>
      <c r="X28" s="123">
        <f t="shared" si="3"/>
        <v>417.9</v>
      </c>
      <c r="Y28" s="122">
        <f t="shared" si="18"/>
        <v>6886.7918301822019</v>
      </c>
      <c r="Z28" s="88">
        <f>'Peajes Circular CNMC'!$H$35</f>
        <v>0.26106499999999999</v>
      </c>
      <c r="AA28" s="122">
        <f t="shared" si="19"/>
        <v>913.72749999999996</v>
      </c>
      <c r="AB28" s="98">
        <f>VLOOKUP(T28,'Peajes Circular CNMC'!$B$13:$J$23,7,FALSE)</f>
        <v>0</v>
      </c>
      <c r="AC28" s="87">
        <f>VLOOKUP(T28,'Peajes Circular CNMC'!$B$13:$J$23,8,FALSE)</f>
        <v>1110.8520000000001</v>
      </c>
      <c r="AD28" s="87">
        <f>VLOOKUP(T28,'Peajes Circular CNMC'!$B$13:$J$23,9,FALSE)</f>
        <v>8.702</v>
      </c>
      <c r="AE28" s="123">
        <f t="shared" si="4"/>
        <v>0</v>
      </c>
      <c r="AF28" s="123">
        <f t="shared" si="20"/>
        <v>13330.224000000002</v>
      </c>
      <c r="AG28" s="123">
        <f t="shared" si="5"/>
        <v>30457</v>
      </c>
      <c r="AH28" s="122">
        <f t="shared" si="21"/>
        <v>43787.224000000002</v>
      </c>
      <c r="AI28" s="124">
        <f t="shared" si="22"/>
        <v>51587.743330182202</v>
      </c>
      <c r="AJ28" s="79">
        <f t="shared" si="6"/>
        <v>14.739355237194914</v>
      </c>
      <c r="AK28" s="67"/>
      <c r="AL28" s="75">
        <f t="shared" si="7"/>
        <v>-0.10682673442759634</v>
      </c>
      <c r="AM28" s="100">
        <f t="shared" si="8"/>
        <v>0.30385677521130594</v>
      </c>
      <c r="AN28" s="125">
        <f t="shared" si="9"/>
        <v>10294.41835209827</v>
      </c>
      <c r="AO28" s="100">
        <f t="shared" si="10"/>
        <v>0.24929981679997776</v>
      </c>
      <c r="AP28" s="192">
        <f t="shared" si="23"/>
        <v>2.9412623863137899</v>
      </c>
    </row>
    <row r="29" spans="2:42">
      <c r="B29" s="105">
        <v>4000</v>
      </c>
      <c r="C29" s="112">
        <f>IF($C$5&lt;&gt;"Memoria CNMC",$C$5,IF(B29&gt;'Tipología Clientes'!$C$16,'Tipología Clientes'!$L$16,IF(B29&gt;'Tipología Clientes'!$C$15,'Tipología Clientes'!$L$15,IF(B29&gt;'Tipología Clientes'!$C$14,'Tipología Clientes'!$L$14,IF(B29&gt;'Tipología Clientes'!$C$13,'Tipología Clientes'!$L$13,IF(B29&gt;'Tipología Clientes'!$C$12,'Tipología Clientes'!$L$12,IF(B29&gt;'Tipología Clientes'!$C$11,'Tipología Clientes'!$L$11,IF(B29&gt;'Tipología Clientes'!$C$10,'Tipología Clientes'!$L$10,IF(B29&gt;'Tipología Clientes'!$C$9,'Tipología Clientes'!$L$9,IF(B29&gt;'Tipología Clientes'!$C$8,'Tipología Clientes'!$L$8,IF(B29&gt;'Tipología Clientes'!$C$7,'Tipología Clientes'!$L$7,'Tipología Clientes'!$L$6)))))))))))</f>
        <v>0.46606774195113709</v>
      </c>
      <c r="D29" s="113">
        <f t="shared" si="24"/>
        <v>23.513543468404173</v>
      </c>
      <c r="E29" s="76" t="str">
        <f>IF(B29&gt;'Peajes Actuales'!$C$14,'Peajes Actuales'!$B$14,IF(B29&gt;'Peajes Actuales'!$C$13,'Peajes Actuales'!$B$13,IF(B29&gt;'Peajes Actuales'!$C$12,'Peajes Actuales'!$B$12,'Peajes Actuales'!$B$11)))</f>
        <v>3.4</v>
      </c>
      <c r="F29" s="88">
        <f>'Peajes Actuales'!$H$36</f>
        <v>28.805999999999997</v>
      </c>
      <c r="G29" s="88">
        <f>'Peajes Actuales'!$I$36</f>
        <v>0.17100000000000001</v>
      </c>
      <c r="H29" s="123">
        <f t="shared" si="25"/>
        <v>8127.9735978102062</v>
      </c>
      <c r="I29" s="123">
        <f t="shared" si="26"/>
        <v>684</v>
      </c>
      <c r="J29" s="122">
        <f t="shared" si="27"/>
        <v>8811.9735978102071</v>
      </c>
      <c r="K29" s="88">
        <f>VLOOKUP(E29,'Peajes Actuales'!$B$11:$L$14,11,FALSE)</f>
        <v>0.72199999999999998</v>
      </c>
      <c r="L29" s="87">
        <f>VLOOKUP(E29,'Peajes Actuales'!$B$11:$J$14,8,FALSE)*K29</f>
        <v>58.460339999999995</v>
      </c>
      <c r="M29" s="90">
        <f>VLOOKUP(E29,'Peajes Actuales'!$B$11:$J$14,9,FALSE)*K29</f>
        <v>9.3946640000000006</v>
      </c>
      <c r="N29" s="123">
        <f t="shared" si="28"/>
        <v>701.52407999999991</v>
      </c>
      <c r="O29" s="123">
        <f t="shared" si="29"/>
        <v>37578.656000000003</v>
      </c>
      <c r="P29" s="122">
        <f t="shared" si="30"/>
        <v>38280.180080000006</v>
      </c>
      <c r="Q29" s="124">
        <f t="shared" si="31"/>
        <v>47092.153677810216</v>
      </c>
      <c r="R29" s="79">
        <f t="shared" si="32"/>
        <v>11.773038419452554</v>
      </c>
      <c r="T29" s="76" t="str">
        <f>IF(B29&gt;'Peajes Circular CNMC'!$C$23,'Peajes Circular CNMC'!$B$23,IF(B29&gt;'Peajes Circular CNMC'!$C$22,'Peajes Circular CNMC'!$B$22,IF(B29&gt;'Peajes Circular CNMC'!$C$21,'Peajes Circular CNMC'!$B$21,IF(B29&gt;'Peajes Circular CNMC'!$C$20,'Peajes Circular CNMC'!$B$20,IF(B29&gt;'Peajes Circular CNMC'!$C$19,'Peajes Circular CNMC'!$B$19,IF(B29&gt;'Peajes Circular CNMC'!$C$18,'Peajes Circular CNMC'!$B$18,IF(B29&gt;'Peajes Circular CNMC'!$C$17,'Peajes Circular CNMC'!$B$17,IF(B29&gt;'Peajes Circular CNMC'!$C$16,'Peajes Circular CNMC'!$B$16,IF(B29&gt;'Peajes Circular CNMC'!$C$15,'Peajes Circular CNMC'!$B$15,IF(B29&gt;'Peajes Circular CNMC'!$C$14,'Peajes Circular CNMC'!$B$14,'Peajes Circular CNMC'!$B$13))))))))))</f>
        <v>D.6</v>
      </c>
      <c r="U29" s="96">
        <f>'Peajes Circular CNMC'!$H$42</f>
        <v>26.201279999999997</v>
      </c>
      <c r="V29" s="88">
        <f>'Peajes Circular CNMC'!$I$42</f>
        <v>0.11939999999999999</v>
      </c>
      <c r="W29" s="123">
        <f t="shared" si="2"/>
        <v>7393.019234493946</v>
      </c>
      <c r="X29" s="123">
        <f t="shared" si="3"/>
        <v>477.59999999999997</v>
      </c>
      <c r="Y29" s="122">
        <f t="shared" si="18"/>
        <v>7870.6192344939464</v>
      </c>
      <c r="Z29" s="88">
        <f>'Peajes Circular CNMC'!$H$35</f>
        <v>0.26106499999999999</v>
      </c>
      <c r="AA29" s="122">
        <f t="shared" si="19"/>
        <v>1044.26</v>
      </c>
      <c r="AB29" s="98">
        <f>VLOOKUP(T29,'Peajes Circular CNMC'!$B$13:$J$23,7,FALSE)</f>
        <v>0</v>
      </c>
      <c r="AC29" s="87">
        <f>VLOOKUP(T29,'Peajes Circular CNMC'!$B$13:$J$23,8,FALSE)</f>
        <v>1110.8520000000001</v>
      </c>
      <c r="AD29" s="87">
        <f>VLOOKUP(T29,'Peajes Circular CNMC'!$B$13:$J$23,9,FALSE)</f>
        <v>8.702</v>
      </c>
      <c r="AE29" s="123">
        <f t="shared" si="4"/>
        <v>0</v>
      </c>
      <c r="AF29" s="123">
        <f t="shared" si="20"/>
        <v>13330.224000000002</v>
      </c>
      <c r="AG29" s="123">
        <f t="shared" si="5"/>
        <v>34808</v>
      </c>
      <c r="AH29" s="122">
        <f t="shared" si="21"/>
        <v>48138.224000000002</v>
      </c>
      <c r="AI29" s="124">
        <f t="shared" si="22"/>
        <v>57053.103234493945</v>
      </c>
      <c r="AJ29" s="79">
        <f t="shared" si="6"/>
        <v>14.263275808623487</v>
      </c>
      <c r="AK29" s="67"/>
      <c r="AL29" s="75">
        <f t="shared" si="7"/>
        <v>-0.10682673442759624</v>
      </c>
      <c r="AM29" s="100">
        <f t="shared" si="8"/>
        <v>0.25752344684372225</v>
      </c>
      <c r="AN29" s="125">
        <f t="shared" si="9"/>
        <v>9960.9495566837286</v>
      </c>
      <c r="AO29" s="100">
        <f t="shared" si="10"/>
        <v>0.21152036546965827</v>
      </c>
      <c r="AP29" s="192">
        <f t="shared" si="23"/>
        <v>2.4902373891709324</v>
      </c>
    </row>
    <row r="30" spans="2:42">
      <c r="B30" s="105">
        <v>4500</v>
      </c>
      <c r="C30" s="112">
        <f>IF($C$5&lt;&gt;"Memoria CNMC",$C$5,IF(B30&gt;'Tipología Clientes'!$C$16,'Tipología Clientes'!$L$16,IF(B30&gt;'Tipología Clientes'!$C$15,'Tipología Clientes'!$L$15,IF(B30&gt;'Tipología Clientes'!$C$14,'Tipología Clientes'!$L$14,IF(B30&gt;'Tipología Clientes'!$C$13,'Tipología Clientes'!$L$13,IF(B30&gt;'Tipología Clientes'!$C$12,'Tipología Clientes'!$L$12,IF(B30&gt;'Tipología Clientes'!$C$11,'Tipología Clientes'!$L$11,IF(B30&gt;'Tipología Clientes'!$C$10,'Tipología Clientes'!$L$10,IF(B30&gt;'Tipología Clientes'!$C$9,'Tipología Clientes'!$L$9,IF(B30&gt;'Tipología Clientes'!$C$8,'Tipología Clientes'!$L$8,IF(B30&gt;'Tipología Clientes'!$C$7,'Tipología Clientes'!$L$7,'Tipología Clientes'!$L$6)))))))))))</f>
        <v>0.46606774195113709</v>
      </c>
      <c r="D30" s="113">
        <f t="shared" si="24"/>
        <v>26.452736401954695</v>
      </c>
      <c r="E30" s="76" t="str">
        <f>IF(B30&gt;'Peajes Actuales'!$C$14,'Peajes Actuales'!$B$14,IF(B30&gt;'Peajes Actuales'!$C$13,'Peajes Actuales'!$B$13,IF(B30&gt;'Peajes Actuales'!$C$12,'Peajes Actuales'!$B$12,'Peajes Actuales'!$B$11)))</f>
        <v>3.4</v>
      </c>
      <c r="F30" s="88">
        <f>'Peajes Actuales'!$H$36</f>
        <v>28.805999999999997</v>
      </c>
      <c r="G30" s="88">
        <f>'Peajes Actuales'!$I$36</f>
        <v>0.17100000000000001</v>
      </c>
      <c r="H30" s="123">
        <f t="shared" si="25"/>
        <v>9143.9702975364835</v>
      </c>
      <c r="I30" s="123">
        <f t="shared" si="26"/>
        <v>769.50000000000011</v>
      </c>
      <c r="J30" s="122">
        <f t="shared" si="27"/>
        <v>9913.4702975364835</v>
      </c>
      <c r="K30" s="88">
        <f>VLOOKUP(E30,'Peajes Actuales'!$B$11:$L$14,11,FALSE)</f>
        <v>0.72199999999999998</v>
      </c>
      <c r="L30" s="87">
        <f>VLOOKUP(E30,'Peajes Actuales'!$B$11:$J$14,8,FALSE)*K30</f>
        <v>58.460339999999995</v>
      </c>
      <c r="M30" s="90">
        <f>VLOOKUP(E30,'Peajes Actuales'!$B$11:$J$14,9,FALSE)*K30</f>
        <v>9.3946640000000006</v>
      </c>
      <c r="N30" s="123">
        <f t="shared" si="28"/>
        <v>701.52407999999991</v>
      </c>
      <c r="O30" s="123">
        <f t="shared" si="29"/>
        <v>42275.988000000005</v>
      </c>
      <c r="P30" s="122">
        <f t="shared" si="30"/>
        <v>42977.512080000008</v>
      </c>
      <c r="Q30" s="124">
        <f t="shared" si="31"/>
        <v>52890.982377536493</v>
      </c>
      <c r="R30" s="79">
        <f t="shared" si="32"/>
        <v>11.753551639452555</v>
      </c>
      <c r="T30" s="76" t="str">
        <f>IF(B30&gt;'Peajes Circular CNMC'!$C$23,'Peajes Circular CNMC'!$B$23,IF(B30&gt;'Peajes Circular CNMC'!$C$22,'Peajes Circular CNMC'!$B$22,IF(B30&gt;'Peajes Circular CNMC'!$C$21,'Peajes Circular CNMC'!$B$21,IF(B30&gt;'Peajes Circular CNMC'!$C$20,'Peajes Circular CNMC'!$B$20,IF(B30&gt;'Peajes Circular CNMC'!$C$19,'Peajes Circular CNMC'!$B$19,IF(B30&gt;'Peajes Circular CNMC'!$C$18,'Peajes Circular CNMC'!$B$18,IF(B30&gt;'Peajes Circular CNMC'!$C$17,'Peajes Circular CNMC'!$B$17,IF(B30&gt;'Peajes Circular CNMC'!$C$16,'Peajes Circular CNMC'!$B$16,IF(B30&gt;'Peajes Circular CNMC'!$C$15,'Peajes Circular CNMC'!$B$15,IF(B30&gt;'Peajes Circular CNMC'!$C$14,'Peajes Circular CNMC'!$B$14,'Peajes Circular CNMC'!$B$13))))))))))</f>
        <v>D.6</v>
      </c>
      <c r="U30" s="96">
        <f>'Peajes Circular CNMC'!$H$42</f>
        <v>26.201279999999997</v>
      </c>
      <c r="V30" s="88">
        <f>'Peajes Circular CNMC'!$I$42</f>
        <v>0.11939999999999999</v>
      </c>
      <c r="W30" s="123">
        <f t="shared" si="2"/>
        <v>8317.1466388056888</v>
      </c>
      <c r="X30" s="123">
        <f t="shared" si="3"/>
        <v>537.29999999999995</v>
      </c>
      <c r="Y30" s="122">
        <f t="shared" si="18"/>
        <v>8854.4466388056881</v>
      </c>
      <c r="Z30" s="88">
        <f>'Peajes Circular CNMC'!$H$35</f>
        <v>0.26106499999999999</v>
      </c>
      <c r="AA30" s="122">
        <f t="shared" si="19"/>
        <v>1174.7925</v>
      </c>
      <c r="AB30" s="98">
        <f>VLOOKUP(T30,'Peajes Circular CNMC'!$B$13:$J$23,7,FALSE)</f>
        <v>0</v>
      </c>
      <c r="AC30" s="87">
        <f>VLOOKUP(T30,'Peajes Circular CNMC'!$B$13:$J$23,8,FALSE)</f>
        <v>1110.8520000000001</v>
      </c>
      <c r="AD30" s="87">
        <f>VLOOKUP(T30,'Peajes Circular CNMC'!$B$13:$J$23,9,FALSE)</f>
        <v>8.702</v>
      </c>
      <c r="AE30" s="123">
        <f t="shared" si="4"/>
        <v>0</v>
      </c>
      <c r="AF30" s="123">
        <f t="shared" si="20"/>
        <v>13330.224000000002</v>
      </c>
      <c r="AG30" s="123">
        <f t="shared" si="5"/>
        <v>39159</v>
      </c>
      <c r="AH30" s="122">
        <f t="shared" si="21"/>
        <v>52489.224000000002</v>
      </c>
      <c r="AI30" s="124">
        <f t="shared" si="22"/>
        <v>62518.463138805688</v>
      </c>
      <c r="AJ30" s="79">
        <f t="shared" si="6"/>
        <v>13.892991808623487</v>
      </c>
      <c r="AK30" s="67"/>
      <c r="AL30" s="75">
        <f t="shared" si="7"/>
        <v>-0.10682673442759645</v>
      </c>
      <c r="AM30" s="100">
        <f t="shared" si="8"/>
        <v>0.22131834672734255</v>
      </c>
      <c r="AN30" s="125">
        <f t="shared" si="9"/>
        <v>9627.4807612691948</v>
      </c>
      <c r="AO30" s="100">
        <f t="shared" si="10"/>
        <v>0.18202499421447907</v>
      </c>
      <c r="AP30" s="192">
        <f t="shared" si="23"/>
        <v>2.1394401691709319</v>
      </c>
    </row>
    <row r="31" spans="2:42">
      <c r="B31" s="105">
        <v>5000</v>
      </c>
      <c r="C31" s="187">
        <v>0.85</v>
      </c>
      <c r="D31" s="113">
        <f t="shared" si="24"/>
        <v>16.116035455278002</v>
      </c>
      <c r="E31" s="76" t="str">
        <f>IF(B31&gt;'Peajes Actuales'!$C$14,'Peajes Actuales'!$B$14,IF(B31&gt;'Peajes Actuales'!$C$13,'Peajes Actuales'!$B$13,IF(B31&gt;'Peajes Actuales'!$C$12,'Peajes Actuales'!$B$12,'Peajes Actuales'!$B$11)))</f>
        <v>3.4</v>
      </c>
      <c r="F31" s="88">
        <f>'Peajes Actuales'!$H$36</f>
        <v>28.805999999999997</v>
      </c>
      <c r="G31" s="88">
        <f>'Peajes Actuales'!$I$36</f>
        <v>0.17100000000000001</v>
      </c>
      <c r="H31" s="123">
        <f t="shared" si="25"/>
        <v>5570.8622078968574</v>
      </c>
      <c r="I31" s="123">
        <f t="shared" si="26"/>
        <v>855.00000000000011</v>
      </c>
      <c r="J31" s="122">
        <f t="shared" si="27"/>
        <v>6425.8622078968574</v>
      </c>
      <c r="K31" s="88">
        <f>VLOOKUP(E31,'Peajes Actuales'!$B$11:$L$14,11,FALSE)</f>
        <v>0.72199999999999998</v>
      </c>
      <c r="L31" s="87">
        <f>VLOOKUP(E31,'Peajes Actuales'!$B$11:$J$14,8,FALSE)*K31</f>
        <v>58.460339999999995</v>
      </c>
      <c r="M31" s="90">
        <f>VLOOKUP(E31,'Peajes Actuales'!$B$11:$J$14,9,FALSE)*K31</f>
        <v>9.3946640000000006</v>
      </c>
      <c r="N31" s="123">
        <f t="shared" si="28"/>
        <v>701.52407999999991</v>
      </c>
      <c r="O31" s="123">
        <f t="shared" si="29"/>
        <v>46973.32</v>
      </c>
      <c r="P31" s="122">
        <f t="shared" si="30"/>
        <v>47674.844080000003</v>
      </c>
      <c r="Q31" s="124">
        <f t="shared" si="31"/>
        <v>54100.706287896857</v>
      </c>
      <c r="R31" s="79">
        <f t="shared" si="32"/>
        <v>10.820141257579371</v>
      </c>
      <c r="T31" s="76" t="str">
        <f>IF(B31&gt;'Peajes Circular CNMC'!$C$23,'Peajes Circular CNMC'!$B$23,IF(B31&gt;'Peajes Circular CNMC'!$C$22,'Peajes Circular CNMC'!$B$22,IF(B31&gt;'Peajes Circular CNMC'!$C$21,'Peajes Circular CNMC'!$B$21,IF(B31&gt;'Peajes Circular CNMC'!$C$20,'Peajes Circular CNMC'!$B$20,IF(B31&gt;'Peajes Circular CNMC'!$C$19,'Peajes Circular CNMC'!$B$19,IF(B31&gt;'Peajes Circular CNMC'!$C$18,'Peajes Circular CNMC'!$B$18,IF(B31&gt;'Peajes Circular CNMC'!$C$17,'Peajes Circular CNMC'!$B$17,IF(B31&gt;'Peajes Circular CNMC'!$C$16,'Peajes Circular CNMC'!$B$16,IF(B31&gt;'Peajes Circular CNMC'!$C$15,'Peajes Circular CNMC'!$B$15,IF(B31&gt;'Peajes Circular CNMC'!$C$14,'Peajes Circular CNMC'!$B$14,'Peajes Circular CNMC'!$B$13))))))))))</f>
        <v>D.6</v>
      </c>
      <c r="U31" s="96">
        <f>'Peajes Circular CNMC'!$H$42</f>
        <v>26.201279999999997</v>
      </c>
      <c r="V31" s="88">
        <f>'Peajes Circular CNMC'!$I$42</f>
        <v>0.11939999999999999</v>
      </c>
      <c r="W31" s="123">
        <f t="shared" si="2"/>
        <v>5067.1290894439962</v>
      </c>
      <c r="X31" s="123">
        <f t="shared" si="3"/>
        <v>597</v>
      </c>
      <c r="Y31" s="122">
        <f t="shared" si="18"/>
        <v>5664.1290894439962</v>
      </c>
      <c r="Z31" s="88">
        <f>'Peajes Circular CNMC'!$H$35</f>
        <v>0.26106499999999999</v>
      </c>
      <c r="AA31" s="122">
        <f t="shared" si="19"/>
        <v>1305.325</v>
      </c>
      <c r="AB31" s="98">
        <f>VLOOKUP(T31,'Peajes Circular CNMC'!$B$13:$J$23,7,FALSE)</f>
        <v>0</v>
      </c>
      <c r="AC31" s="87">
        <f>VLOOKUP(T31,'Peajes Circular CNMC'!$B$13:$J$23,8,FALSE)</f>
        <v>1110.8520000000001</v>
      </c>
      <c r="AD31" s="87">
        <f>VLOOKUP(T31,'Peajes Circular CNMC'!$B$13:$J$23,9,FALSE)</f>
        <v>8.702</v>
      </c>
      <c r="AE31" s="123">
        <f t="shared" si="4"/>
        <v>0</v>
      </c>
      <c r="AF31" s="123">
        <f t="shared" si="20"/>
        <v>13330.224000000002</v>
      </c>
      <c r="AG31" s="123">
        <f t="shared" si="5"/>
        <v>43510</v>
      </c>
      <c r="AH31" s="122">
        <f t="shared" si="21"/>
        <v>56840.224000000002</v>
      </c>
      <c r="AI31" s="124">
        <f t="shared" si="22"/>
        <v>63809.678089444002</v>
      </c>
      <c r="AJ31" s="79">
        <f t="shared" si="6"/>
        <v>12.761935617888801</v>
      </c>
      <c r="AK31" s="67"/>
      <c r="AL31" s="75">
        <f t="shared" si="7"/>
        <v>-0.11854177599960884</v>
      </c>
      <c r="AM31" s="100">
        <f t="shared" si="8"/>
        <v>0.19224771673338212</v>
      </c>
      <c r="AN31" s="125">
        <f t="shared" si="9"/>
        <v>9708.9718015471444</v>
      </c>
      <c r="AO31" s="100">
        <f t="shared" si="10"/>
        <v>0.17946109150370163</v>
      </c>
      <c r="AP31" s="192">
        <f t="shared" si="23"/>
        <v>1.9417943603094301</v>
      </c>
    </row>
    <row r="32" spans="2:42">
      <c r="B32" s="105">
        <v>5500</v>
      </c>
      <c r="C32" s="187">
        <v>0.85</v>
      </c>
      <c r="D32" s="113">
        <f t="shared" si="24"/>
        <v>17.727639000805802</v>
      </c>
      <c r="E32" s="76" t="str">
        <f>IF(B32&gt;'Peajes Actuales'!$C$14,'Peajes Actuales'!$B$14,IF(B32&gt;'Peajes Actuales'!$C$13,'Peajes Actuales'!$B$13,IF(B32&gt;'Peajes Actuales'!$C$12,'Peajes Actuales'!$B$12,'Peajes Actuales'!$B$11)))</f>
        <v>3.4</v>
      </c>
      <c r="F32" s="88">
        <f>'Peajes Actuales'!$H$36</f>
        <v>28.805999999999997</v>
      </c>
      <c r="G32" s="88">
        <f>'Peajes Actuales'!$I$36</f>
        <v>0.17100000000000001</v>
      </c>
      <c r="H32" s="123">
        <f t="shared" si="25"/>
        <v>6127.9484286865427</v>
      </c>
      <c r="I32" s="123">
        <f t="shared" si="26"/>
        <v>940.50000000000011</v>
      </c>
      <c r="J32" s="122">
        <f t="shared" si="27"/>
        <v>7068.4484286865427</v>
      </c>
      <c r="K32" s="88">
        <f>VLOOKUP(E32,'Peajes Actuales'!$B$11:$L$14,11,FALSE)</f>
        <v>0.72199999999999998</v>
      </c>
      <c r="L32" s="87">
        <f>VLOOKUP(E32,'Peajes Actuales'!$B$11:$J$14,8,FALSE)*K32</f>
        <v>58.460339999999995</v>
      </c>
      <c r="M32" s="90">
        <f>VLOOKUP(E32,'Peajes Actuales'!$B$11:$J$14,9,FALSE)*K32</f>
        <v>9.3946640000000006</v>
      </c>
      <c r="N32" s="123">
        <f t="shared" si="28"/>
        <v>701.52407999999991</v>
      </c>
      <c r="O32" s="123">
        <f t="shared" si="29"/>
        <v>51670.652000000002</v>
      </c>
      <c r="P32" s="122">
        <f t="shared" si="30"/>
        <v>52372.176080000005</v>
      </c>
      <c r="Q32" s="124">
        <f t="shared" si="31"/>
        <v>59440.624508686546</v>
      </c>
      <c r="R32" s="79">
        <f t="shared" si="32"/>
        <v>10.807386274306644</v>
      </c>
      <c r="T32" s="76" t="str">
        <f>IF(B32&gt;'Peajes Circular CNMC'!$C$23,'Peajes Circular CNMC'!$B$23,IF(B32&gt;'Peajes Circular CNMC'!$C$22,'Peajes Circular CNMC'!$B$22,IF(B32&gt;'Peajes Circular CNMC'!$C$21,'Peajes Circular CNMC'!$B$21,IF(B32&gt;'Peajes Circular CNMC'!$C$20,'Peajes Circular CNMC'!$B$20,IF(B32&gt;'Peajes Circular CNMC'!$C$19,'Peajes Circular CNMC'!$B$19,IF(B32&gt;'Peajes Circular CNMC'!$C$18,'Peajes Circular CNMC'!$B$18,IF(B32&gt;'Peajes Circular CNMC'!$C$17,'Peajes Circular CNMC'!$B$17,IF(B32&gt;'Peajes Circular CNMC'!$C$16,'Peajes Circular CNMC'!$B$16,IF(B32&gt;'Peajes Circular CNMC'!$C$15,'Peajes Circular CNMC'!$B$15,IF(B32&gt;'Peajes Circular CNMC'!$C$14,'Peajes Circular CNMC'!$B$14,'Peajes Circular CNMC'!$B$13))))))))))</f>
        <v>D.7</v>
      </c>
      <c r="U32" s="96">
        <f>'Peajes Circular CNMC'!$H$42</f>
        <v>26.201279999999997</v>
      </c>
      <c r="V32" s="88">
        <f>'Peajes Circular CNMC'!$I$42</f>
        <v>0.11939999999999999</v>
      </c>
      <c r="W32" s="123">
        <f t="shared" si="2"/>
        <v>5573.841998388396</v>
      </c>
      <c r="X32" s="123">
        <f t="shared" si="3"/>
        <v>656.69999999999993</v>
      </c>
      <c r="Y32" s="122">
        <f t="shared" si="18"/>
        <v>6230.5419983883958</v>
      </c>
      <c r="Z32" s="88">
        <f>'Peajes Circular CNMC'!$H$35</f>
        <v>0.26106499999999999</v>
      </c>
      <c r="AA32" s="122">
        <f t="shared" si="19"/>
        <v>1435.8574999999998</v>
      </c>
      <c r="AB32" s="98">
        <f>VLOOKUP(T32,'Peajes Circular CNMC'!$B$13:$J$23,7,FALSE)</f>
        <v>86.737500000000011</v>
      </c>
      <c r="AC32" s="87">
        <f>VLOOKUP(T32,'Peajes Circular CNMC'!$B$13:$J$23,8,FALSE)</f>
        <v>0</v>
      </c>
      <c r="AD32" s="87">
        <f>VLOOKUP(T32,'Peajes Circular CNMC'!$B$13:$J$23,9,FALSE)</f>
        <v>1.0900000000000001</v>
      </c>
      <c r="AE32" s="123">
        <f t="shared" si="4"/>
        <v>18451.813053988721</v>
      </c>
      <c r="AF32" s="123">
        <f t="shared" si="20"/>
        <v>0</v>
      </c>
      <c r="AG32" s="123">
        <f t="shared" si="5"/>
        <v>5995</v>
      </c>
      <c r="AH32" s="122">
        <f t="shared" si="21"/>
        <v>24446.813053988721</v>
      </c>
      <c r="AI32" s="124">
        <f t="shared" si="22"/>
        <v>32113.212552377117</v>
      </c>
      <c r="AJ32" s="79">
        <f t="shared" si="6"/>
        <v>5.8387659186140217</v>
      </c>
      <c r="AK32" s="67"/>
      <c r="AL32" s="75">
        <f t="shared" si="7"/>
        <v>-0.1185417759996088</v>
      </c>
      <c r="AM32" s="100">
        <f t="shared" si="8"/>
        <v>-0.53320990488068487</v>
      </c>
      <c r="AN32" s="125">
        <f t="shared" si="9"/>
        <v>-27327.411956309428</v>
      </c>
      <c r="AO32" s="100">
        <f t="shared" si="10"/>
        <v>-0.45974301552494373</v>
      </c>
      <c r="AP32" s="192">
        <f t="shared" si="23"/>
        <v>-4.9686203556926225</v>
      </c>
    </row>
    <row r="33" spans="2:42">
      <c r="B33" s="105">
        <v>6000</v>
      </c>
      <c r="C33" s="187">
        <v>0.85</v>
      </c>
      <c r="D33" s="113">
        <f t="shared" si="24"/>
        <v>19.339242546333605</v>
      </c>
      <c r="E33" s="76" t="str">
        <f>IF(B33&gt;'Peajes Actuales'!$C$14,'Peajes Actuales'!$B$14,IF(B33&gt;'Peajes Actuales'!$C$13,'Peajes Actuales'!$B$13,IF(B33&gt;'Peajes Actuales'!$C$12,'Peajes Actuales'!$B$12,'Peajes Actuales'!$B$11)))</f>
        <v>3.4</v>
      </c>
      <c r="F33" s="88">
        <f>'Peajes Actuales'!$H$36</f>
        <v>28.805999999999997</v>
      </c>
      <c r="G33" s="88">
        <f>'Peajes Actuales'!$I$36</f>
        <v>0.17100000000000001</v>
      </c>
      <c r="H33" s="123">
        <f t="shared" si="25"/>
        <v>6685.0346494762289</v>
      </c>
      <c r="I33" s="123">
        <f t="shared" si="26"/>
        <v>1026</v>
      </c>
      <c r="J33" s="122">
        <f t="shared" si="27"/>
        <v>7711.0346494762289</v>
      </c>
      <c r="K33" s="88">
        <f>VLOOKUP(E33,'Peajes Actuales'!$B$11:$L$14,11,FALSE)</f>
        <v>0.72199999999999998</v>
      </c>
      <c r="L33" s="87">
        <f>VLOOKUP(E33,'Peajes Actuales'!$B$11:$J$14,8,FALSE)*K33</f>
        <v>58.460339999999995</v>
      </c>
      <c r="M33" s="90">
        <f>VLOOKUP(E33,'Peajes Actuales'!$B$11:$J$14,9,FALSE)*K33</f>
        <v>9.3946640000000006</v>
      </c>
      <c r="N33" s="123">
        <f t="shared" si="28"/>
        <v>701.52407999999991</v>
      </c>
      <c r="O33" s="123">
        <f t="shared" si="29"/>
        <v>56367.984000000004</v>
      </c>
      <c r="P33" s="122">
        <f t="shared" si="30"/>
        <v>57069.508080000007</v>
      </c>
      <c r="Q33" s="124">
        <f t="shared" si="31"/>
        <v>64780.542729476234</v>
      </c>
      <c r="R33" s="79">
        <f t="shared" si="32"/>
        <v>10.796757121579372</v>
      </c>
      <c r="T33" s="76" t="str">
        <f>IF(B33&gt;'Peajes Circular CNMC'!$C$23,'Peajes Circular CNMC'!$B$23,IF(B33&gt;'Peajes Circular CNMC'!$C$22,'Peajes Circular CNMC'!$B$22,IF(B33&gt;'Peajes Circular CNMC'!$C$21,'Peajes Circular CNMC'!$B$21,IF(B33&gt;'Peajes Circular CNMC'!$C$20,'Peajes Circular CNMC'!$B$20,IF(B33&gt;'Peajes Circular CNMC'!$C$19,'Peajes Circular CNMC'!$B$19,IF(B33&gt;'Peajes Circular CNMC'!$C$18,'Peajes Circular CNMC'!$B$18,IF(B33&gt;'Peajes Circular CNMC'!$C$17,'Peajes Circular CNMC'!$B$17,IF(B33&gt;'Peajes Circular CNMC'!$C$16,'Peajes Circular CNMC'!$B$16,IF(B33&gt;'Peajes Circular CNMC'!$C$15,'Peajes Circular CNMC'!$B$15,IF(B33&gt;'Peajes Circular CNMC'!$C$14,'Peajes Circular CNMC'!$B$14,'Peajes Circular CNMC'!$B$13))))))))))</f>
        <v>D.7</v>
      </c>
      <c r="U33" s="96">
        <f>'Peajes Circular CNMC'!$H$42</f>
        <v>26.201279999999997</v>
      </c>
      <c r="V33" s="88">
        <f>'Peajes Circular CNMC'!$I$42</f>
        <v>0.11939999999999999</v>
      </c>
      <c r="W33" s="123">
        <f t="shared" si="2"/>
        <v>6080.5549073327966</v>
      </c>
      <c r="X33" s="123">
        <f t="shared" si="3"/>
        <v>716.4</v>
      </c>
      <c r="Y33" s="122">
        <f t="shared" si="18"/>
        <v>6796.9549073327962</v>
      </c>
      <c r="Z33" s="88">
        <f>'Peajes Circular CNMC'!$H$35</f>
        <v>0.26106499999999999</v>
      </c>
      <c r="AA33" s="122">
        <f t="shared" si="19"/>
        <v>1566.3899999999999</v>
      </c>
      <c r="AB33" s="98">
        <f>VLOOKUP(T33,'Peajes Circular CNMC'!$B$13:$J$23,7,FALSE)</f>
        <v>86.737500000000011</v>
      </c>
      <c r="AC33" s="87">
        <f>VLOOKUP(T33,'Peajes Circular CNMC'!$B$13:$J$23,8,FALSE)</f>
        <v>0</v>
      </c>
      <c r="AD33" s="87">
        <f>VLOOKUP(T33,'Peajes Circular CNMC'!$B$13:$J$23,9,FALSE)</f>
        <v>1.0900000000000001</v>
      </c>
      <c r="AE33" s="123">
        <f t="shared" si="4"/>
        <v>20129.250604351335</v>
      </c>
      <c r="AF33" s="123">
        <f t="shared" si="20"/>
        <v>0</v>
      </c>
      <c r="AG33" s="123">
        <f t="shared" si="5"/>
        <v>6540.0000000000009</v>
      </c>
      <c r="AH33" s="122">
        <f t="shared" si="21"/>
        <v>26669.250604351335</v>
      </c>
      <c r="AI33" s="124">
        <f>Y33+AA33+AH33</f>
        <v>35032.595511684129</v>
      </c>
      <c r="AJ33" s="79">
        <f t="shared" si="6"/>
        <v>5.8387659186140217</v>
      </c>
      <c r="AK33" s="67"/>
      <c r="AL33" s="75">
        <f t="shared" si="7"/>
        <v>-0.11854177599960875</v>
      </c>
      <c r="AM33" s="100">
        <f t="shared" si="8"/>
        <v>-0.53268826906714539</v>
      </c>
      <c r="AN33" s="125">
        <f t="shared" si="9"/>
        <v>-29747.947217792105</v>
      </c>
      <c r="AO33" s="100">
        <f t="shared" si="10"/>
        <v>-0.45921114526655993</v>
      </c>
      <c r="AP33" s="192">
        <f t="shared" si="23"/>
        <v>-4.9579912029653501</v>
      </c>
    </row>
    <row r="34" spans="2:42">
      <c r="B34" s="105">
        <v>7000</v>
      </c>
      <c r="C34" s="187">
        <v>0.85</v>
      </c>
      <c r="D34" s="113">
        <f t="shared" si="24"/>
        <v>22.5624496373892</v>
      </c>
      <c r="E34" s="76" t="str">
        <f>IF(B34&gt;'Peajes Actuales'!$C$14,'Peajes Actuales'!$B$14,IF(B34&gt;'Peajes Actuales'!$C$13,'Peajes Actuales'!$B$13,IF(B34&gt;'Peajes Actuales'!$C$12,'Peajes Actuales'!$B$12,'Peajes Actuales'!$B$11)))</f>
        <v>3.4</v>
      </c>
      <c r="F34" s="88">
        <f>'Peajes Actuales'!$H$36</f>
        <v>28.805999999999997</v>
      </c>
      <c r="G34" s="88">
        <f>'Peajes Actuales'!$I$36</f>
        <v>0.17100000000000001</v>
      </c>
      <c r="H34" s="123">
        <f t="shared" si="25"/>
        <v>7799.2070910555985</v>
      </c>
      <c r="I34" s="123">
        <f t="shared" si="26"/>
        <v>1197</v>
      </c>
      <c r="J34" s="122">
        <f t="shared" si="27"/>
        <v>8996.2070910555994</v>
      </c>
      <c r="K34" s="88">
        <f>VLOOKUP(E34,'Peajes Actuales'!$B$11:$L$14,11,FALSE)</f>
        <v>0.72199999999999998</v>
      </c>
      <c r="L34" s="87">
        <f>VLOOKUP(E34,'Peajes Actuales'!$B$11:$J$14,8,FALSE)*K34</f>
        <v>58.460339999999995</v>
      </c>
      <c r="M34" s="90">
        <f>VLOOKUP(E34,'Peajes Actuales'!$B$11:$J$14,9,FALSE)*K34</f>
        <v>9.3946640000000006</v>
      </c>
      <c r="N34" s="123">
        <f t="shared" si="28"/>
        <v>701.52407999999991</v>
      </c>
      <c r="O34" s="123">
        <f t="shared" si="29"/>
        <v>65762.648000000001</v>
      </c>
      <c r="P34" s="122">
        <f t="shared" si="30"/>
        <v>66464.172080000004</v>
      </c>
      <c r="Q34" s="124">
        <f t="shared" si="31"/>
        <v>75460.379171055596</v>
      </c>
      <c r="R34" s="79">
        <f t="shared" si="32"/>
        <v>10.780054167293656</v>
      </c>
      <c r="T34" s="76" t="str">
        <f>IF(B34&gt;'Peajes Circular CNMC'!$C$23,'Peajes Circular CNMC'!$B$23,IF(B34&gt;'Peajes Circular CNMC'!$C$22,'Peajes Circular CNMC'!$B$22,IF(B34&gt;'Peajes Circular CNMC'!$C$21,'Peajes Circular CNMC'!$B$21,IF(B34&gt;'Peajes Circular CNMC'!$C$20,'Peajes Circular CNMC'!$B$20,IF(B34&gt;'Peajes Circular CNMC'!$C$19,'Peajes Circular CNMC'!$B$19,IF(B34&gt;'Peajes Circular CNMC'!$C$18,'Peajes Circular CNMC'!$B$18,IF(B34&gt;'Peajes Circular CNMC'!$C$17,'Peajes Circular CNMC'!$B$17,IF(B34&gt;'Peajes Circular CNMC'!$C$16,'Peajes Circular CNMC'!$B$16,IF(B34&gt;'Peajes Circular CNMC'!$C$15,'Peajes Circular CNMC'!$B$15,IF(B34&gt;'Peajes Circular CNMC'!$C$14,'Peajes Circular CNMC'!$B$14,'Peajes Circular CNMC'!$B$13))))))))))</f>
        <v>D.7</v>
      </c>
      <c r="U34" s="96">
        <f>'Peajes Circular CNMC'!$H$42</f>
        <v>26.201279999999997</v>
      </c>
      <c r="V34" s="88">
        <f>'Peajes Circular CNMC'!$I$42</f>
        <v>0.11939999999999999</v>
      </c>
      <c r="W34" s="123">
        <f t="shared" si="2"/>
        <v>7093.9807252215942</v>
      </c>
      <c r="X34" s="123">
        <f t="shared" si="3"/>
        <v>835.8</v>
      </c>
      <c r="Y34" s="122">
        <f t="shared" si="18"/>
        <v>7929.7807252215944</v>
      </c>
      <c r="Z34" s="88">
        <f>'Peajes Circular CNMC'!$H$35</f>
        <v>0.26106499999999999</v>
      </c>
      <c r="AA34" s="122">
        <f t="shared" si="19"/>
        <v>1827.4549999999999</v>
      </c>
      <c r="AB34" s="98">
        <f>VLOOKUP(T34,'Peajes Circular CNMC'!$B$13:$J$23,7,FALSE)</f>
        <v>86.737500000000011</v>
      </c>
      <c r="AC34" s="87">
        <f>VLOOKUP(T34,'Peajes Circular CNMC'!$B$13:$J$23,8,FALSE)</f>
        <v>0</v>
      </c>
      <c r="AD34" s="87">
        <f>VLOOKUP(T34,'Peajes Circular CNMC'!$B$13:$J$23,9,FALSE)</f>
        <v>1.0900000000000001</v>
      </c>
      <c r="AE34" s="123">
        <f t="shared" si="4"/>
        <v>23484.125705076553</v>
      </c>
      <c r="AF34" s="123">
        <f t="shared" si="20"/>
        <v>0</v>
      </c>
      <c r="AG34" s="123">
        <f t="shared" si="5"/>
        <v>7630.0000000000009</v>
      </c>
      <c r="AH34" s="122">
        <f t="shared" si="21"/>
        <v>31114.125705076553</v>
      </c>
      <c r="AI34" s="124">
        <f t="shared" si="22"/>
        <v>40871.361430298144</v>
      </c>
      <c r="AJ34" s="79">
        <f t="shared" si="6"/>
        <v>5.8387659186140208</v>
      </c>
      <c r="AK34" s="67"/>
      <c r="AL34" s="75">
        <f t="shared" si="7"/>
        <v>-0.11854177599960879</v>
      </c>
      <c r="AM34" s="100">
        <f t="shared" si="8"/>
        <v>-0.53186619600668683</v>
      </c>
      <c r="AN34" s="125">
        <f t="shared" si="9"/>
        <v>-34589.017740757452</v>
      </c>
      <c r="AO34" s="100">
        <f t="shared" si="10"/>
        <v>-0.45837323004102781</v>
      </c>
      <c r="AP34" s="192">
        <f t="shared" si="23"/>
        <v>-4.9412882486796352</v>
      </c>
    </row>
    <row r="35" spans="2:42">
      <c r="B35" s="105">
        <v>7500</v>
      </c>
      <c r="C35" s="187">
        <v>0.85</v>
      </c>
      <c r="D35" s="113">
        <f t="shared" si="24"/>
        <v>24.174053182917003</v>
      </c>
      <c r="E35" s="76" t="str">
        <f>IF(B35&gt;'Peajes Actuales'!$C$14,'Peajes Actuales'!$B$14,IF(B35&gt;'Peajes Actuales'!$C$13,'Peajes Actuales'!$B$13,IF(B35&gt;'Peajes Actuales'!$C$12,'Peajes Actuales'!$B$12,'Peajes Actuales'!$B$11)))</f>
        <v>3.4</v>
      </c>
      <c r="F35" s="88">
        <f>'Peajes Actuales'!$H$36</f>
        <v>28.805999999999997</v>
      </c>
      <c r="G35" s="88">
        <f>'Peajes Actuales'!$I$36</f>
        <v>0.17100000000000001</v>
      </c>
      <c r="H35" s="123">
        <f t="shared" si="25"/>
        <v>8356.2933118452856</v>
      </c>
      <c r="I35" s="123">
        <f t="shared" si="26"/>
        <v>1282.5</v>
      </c>
      <c r="J35" s="122">
        <f t="shared" si="27"/>
        <v>9638.7933118452856</v>
      </c>
      <c r="K35" s="88">
        <f>VLOOKUP(E35,'Peajes Actuales'!$B$11:$L$14,11,FALSE)</f>
        <v>0.72199999999999998</v>
      </c>
      <c r="L35" s="87">
        <f>VLOOKUP(E35,'Peajes Actuales'!$B$11:$J$14,8,FALSE)*K35</f>
        <v>58.460339999999995</v>
      </c>
      <c r="M35" s="90">
        <f>VLOOKUP(E35,'Peajes Actuales'!$B$11:$J$14,9,FALSE)*K35</f>
        <v>9.3946640000000006</v>
      </c>
      <c r="N35" s="123">
        <f t="shared" si="28"/>
        <v>701.52407999999991</v>
      </c>
      <c r="O35" s="123">
        <f t="shared" si="29"/>
        <v>70459.98000000001</v>
      </c>
      <c r="P35" s="122">
        <f t="shared" si="30"/>
        <v>71161.504080000013</v>
      </c>
      <c r="Q35" s="124">
        <f t="shared" si="31"/>
        <v>80800.297391845292</v>
      </c>
      <c r="R35" s="79">
        <f t="shared" si="32"/>
        <v>10.773372985579373</v>
      </c>
      <c r="T35" s="76" t="str">
        <f>IF(B35&gt;'Peajes Circular CNMC'!$C$23,'Peajes Circular CNMC'!$B$23,IF(B35&gt;'Peajes Circular CNMC'!$C$22,'Peajes Circular CNMC'!$B$22,IF(B35&gt;'Peajes Circular CNMC'!$C$21,'Peajes Circular CNMC'!$B$21,IF(B35&gt;'Peajes Circular CNMC'!$C$20,'Peajes Circular CNMC'!$B$20,IF(B35&gt;'Peajes Circular CNMC'!$C$19,'Peajes Circular CNMC'!$B$19,IF(B35&gt;'Peajes Circular CNMC'!$C$18,'Peajes Circular CNMC'!$B$18,IF(B35&gt;'Peajes Circular CNMC'!$C$17,'Peajes Circular CNMC'!$B$17,IF(B35&gt;'Peajes Circular CNMC'!$C$16,'Peajes Circular CNMC'!$B$16,IF(B35&gt;'Peajes Circular CNMC'!$C$15,'Peajes Circular CNMC'!$B$15,IF(B35&gt;'Peajes Circular CNMC'!$C$14,'Peajes Circular CNMC'!$B$14,'Peajes Circular CNMC'!$B$13))))))))))</f>
        <v>D.7</v>
      </c>
      <c r="U35" s="96">
        <f>'Peajes Circular CNMC'!$H$42</f>
        <v>26.201279999999997</v>
      </c>
      <c r="V35" s="88">
        <f>'Peajes Circular CNMC'!$I$42</f>
        <v>0.11939999999999999</v>
      </c>
      <c r="W35" s="123">
        <f t="shared" si="2"/>
        <v>7600.6936341659948</v>
      </c>
      <c r="X35" s="123">
        <f t="shared" si="3"/>
        <v>895.49999999999989</v>
      </c>
      <c r="Y35" s="122">
        <f t="shared" si="18"/>
        <v>8496.1936341659948</v>
      </c>
      <c r="Z35" s="88">
        <f>'Peajes Circular CNMC'!$H$35</f>
        <v>0.26106499999999999</v>
      </c>
      <c r="AA35" s="122">
        <f t="shared" si="19"/>
        <v>1957.9875</v>
      </c>
      <c r="AB35" s="98">
        <f>VLOOKUP(T35,'Peajes Circular CNMC'!$B$13:$J$23,7,FALSE)</f>
        <v>86.737500000000011</v>
      </c>
      <c r="AC35" s="87">
        <f>VLOOKUP(T35,'Peajes Circular CNMC'!$B$13:$J$23,8,FALSE)</f>
        <v>0</v>
      </c>
      <c r="AD35" s="87">
        <f>VLOOKUP(T35,'Peajes Circular CNMC'!$B$13:$J$23,9,FALSE)</f>
        <v>1.0900000000000001</v>
      </c>
      <c r="AE35" s="123">
        <f t="shared" si="4"/>
        <v>25161.563255439167</v>
      </c>
      <c r="AF35" s="123">
        <f t="shared" si="20"/>
        <v>0</v>
      </c>
      <c r="AG35" s="123">
        <f t="shared" si="5"/>
        <v>8175.0000000000009</v>
      </c>
      <c r="AH35" s="122">
        <f t="shared" si="21"/>
        <v>33336.56325543917</v>
      </c>
      <c r="AI35" s="124">
        <f t="shared" si="22"/>
        <v>43790.744389605163</v>
      </c>
      <c r="AJ35" s="79">
        <f t="shared" si="6"/>
        <v>5.8387659186140217</v>
      </c>
      <c r="AK35" s="67"/>
      <c r="AL35" s="75">
        <f t="shared" si="7"/>
        <v>-0.11854177599960875</v>
      </c>
      <c r="AM35" s="100">
        <f t="shared" si="8"/>
        <v>-0.5315365563667388</v>
      </c>
      <c r="AN35" s="125">
        <f t="shared" si="9"/>
        <v>-37009.553002240129</v>
      </c>
      <c r="AO35" s="100">
        <f t="shared" si="10"/>
        <v>-0.45803733645632955</v>
      </c>
      <c r="AP35" s="192">
        <f t="shared" si="23"/>
        <v>-4.9346070669653512</v>
      </c>
    </row>
  </sheetData>
  <customSheetViews>
    <customSheetView guid="{96C67CFB-CE46-46EB-8800-9D77F2045444}" scale="90" showGridLines="0" fitToPage="1" hiddenColumns="1">
      <pane ySplit="6" topLeftCell="A19" activePane="bottomLeft" state="frozen"/>
      <selection pane="bottomLeft" activeCell="M15" sqref="M15"/>
      <pageMargins left="0.70866141732283472" right="0.70866141732283472" top="0.74803149606299213" bottom="0.74803149606299213" header="0.31496062992125984" footer="0.31496062992125984"/>
      <pageSetup paperSize="8" scale="62" orientation="landscape" r:id="rId1"/>
      <headerFooter>
        <oddHeader>&amp;L&amp;F&amp;R&amp;A</oddHeader>
        <oddFooter>&amp;R&amp;Z&amp;F</oddFooter>
      </headerFooter>
    </customSheetView>
    <customSheetView guid="{DE30ACA8-1284-4798-8E7A-589852EF3C29}" scale="90" showGridLines="0" fitToPage="1" hiddenColumns="1">
      <pane ySplit="6" topLeftCell="A19" activePane="bottomLeft" state="frozen"/>
      <selection pane="bottomLeft" activeCell="M15" sqref="M15"/>
      <pageMargins left="0.70866141732283472" right="0.70866141732283472" top="0.74803149606299213" bottom="0.74803149606299213" header="0.31496062992125984" footer="0.31496062992125984"/>
      <pageSetup paperSize="8" scale="62" orientation="landscape" r:id="rId2"/>
      <headerFooter>
        <oddHeader>&amp;L&amp;F&amp;R&amp;A</oddHeader>
        <oddFooter>&amp;R&amp;Z&amp;F</oddFooter>
      </headerFooter>
    </customSheetView>
  </customSheetViews>
  <mergeCells count="14">
    <mergeCell ref="AN8:AO8"/>
    <mergeCell ref="F6:R6"/>
    <mergeCell ref="K7:P7"/>
    <mergeCell ref="Q7:R7"/>
    <mergeCell ref="U7:Y7"/>
    <mergeCell ref="AI7:AJ7"/>
    <mergeCell ref="U6:AJ6"/>
    <mergeCell ref="AB7:AH7"/>
    <mergeCell ref="E8:E9"/>
    <mergeCell ref="Q8:R8"/>
    <mergeCell ref="AI8:AJ8"/>
    <mergeCell ref="C5:D5"/>
    <mergeCell ref="F7:J7"/>
    <mergeCell ref="Z7:AA7"/>
  </mergeCells>
  <conditionalFormatting sqref="AL10:AO35">
    <cfRule type="cellIs" dxfId="23" priority="8" operator="greaterThan">
      <formula>0</formula>
    </cfRule>
  </conditionalFormatting>
  <conditionalFormatting sqref="AL10:AO35">
    <cfRule type="cellIs" dxfId="22" priority="6" operator="lessThan">
      <formula>0</formula>
    </cfRule>
  </conditionalFormatting>
  <conditionalFormatting sqref="AP10:AP35">
    <cfRule type="cellIs" dxfId="21" priority="2" operator="greaterThan">
      <formula>0</formula>
    </cfRule>
  </conditionalFormatting>
  <conditionalFormatting sqref="AP10:AP35">
    <cfRule type="cellIs" dxfId="20" priority="1" operator="lessThan">
      <formula>0</formula>
    </cfRule>
  </conditionalFormatting>
  <dataValidations count="1">
    <dataValidation type="list" allowBlank="1" showInputMessage="1" showErrorMessage="1" sqref="C5">
      <mc:AlternateContent xmlns:x12ac="http://schemas.microsoft.com/office/spreadsheetml/2011/1/ac" xmlns:mc="http://schemas.openxmlformats.org/markup-compatibility/2006">
        <mc:Choice Requires="x12ac">
          <x12ac:list>Memoria CNMC,"0,80","0,85","0,90"</x12ac:list>
        </mc:Choice>
        <mc:Fallback>
          <formula1>"Memoria CNMC,0,80,0,85,0,90"</formula1>
        </mc:Fallback>
      </mc:AlternateContent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5" orientation="landscape" r:id="rId3"/>
  <headerFooter>
    <oddHeader>&amp;LANEXO I: CÁLCULOS DEL IMPACTO INICIAL DE LA NUEVA METODOLOGÍA DE PEAJES SOBRE LOS CLIENTES&amp;R&amp;A</oddHeader>
  </headerFooter>
  <drawing r:id="rId4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AP29"/>
  <sheetViews>
    <sheetView showGridLines="0" topLeftCell="A7" zoomScale="90" zoomScaleNormal="90" workbookViewId="0">
      <selection activeCell="AD62" sqref="AD62"/>
    </sheetView>
  </sheetViews>
  <sheetFormatPr baseColWidth="10" defaultColWidth="11" defaultRowHeight="16.5" outlineLevelCol="1"/>
  <cols>
    <col min="1" max="1" width="2.140625" style="67" customWidth="1"/>
    <col min="2" max="2" width="10.140625" style="66" customWidth="1"/>
    <col min="3" max="3" width="6.7109375" style="67" customWidth="1"/>
    <col min="4" max="4" width="10.42578125" style="67" customWidth="1"/>
    <col min="5" max="5" width="8.42578125" style="67" customWidth="1"/>
    <col min="6" max="6" width="13.42578125" style="74" hidden="1" customWidth="1" outlineLevel="1"/>
    <col min="7" max="7" width="9.7109375" style="74" customWidth="1" outlineLevel="1"/>
    <col min="8" max="8" width="11.5703125" style="78" hidden="1" customWidth="1" outlineLevel="1"/>
    <col min="9" max="9" width="10.5703125" style="78" hidden="1" customWidth="1" outlineLevel="1"/>
    <col min="10" max="10" width="21.42578125" style="78" customWidth="1" collapsed="1"/>
    <col min="11" max="11" width="13.42578125" style="67" hidden="1" customWidth="1" outlineLevel="1"/>
    <col min="12" max="12" width="10" style="67" hidden="1" customWidth="1" outlineLevel="1"/>
    <col min="13" max="13" width="11" style="67" hidden="1" customWidth="1" outlineLevel="1"/>
    <col min="14" max="14" width="10.5703125" style="67" bestFit="1" customWidth="1" outlineLevel="1"/>
    <col min="15" max="15" width="12.85546875" style="67" hidden="1" customWidth="1" outlineLevel="1"/>
    <col min="16" max="16" width="13.28515625" style="67" customWidth="1" collapsed="1"/>
    <col min="17" max="17" width="12.5703125" style="67" bestFit="1" customWidth="1"/>
    <col min="18" max="18" width="8" style="67" customWidth="1"/>
    <col min="19" max="19" width="3.42578125" style="67" customWidth="1"/>
    <col min="20" max="20" width="8" style="67" customWidth="1"/>
    <col min="21" max="21" width="13.42578125" style="67" hidden="1" customWidth="1" outlineLevel="1"/>
    <col min="22" max="23" width="11.5703125" style="67" hidden="1" customWidth="1" outlineLevel="1"/>
    <col min="24" max="24" width="12.28515625" style="67" hidden="1" customWidth="1" outlineLevel="1"/>
    <col min="25" max="25" width="15.7109375" style="67" customWidth="1" collapsed="1"/>
    <col min="26" max="26" width="9" style="67" hidden="1" customWidth="1" outlineLevel="1"/>
    <col min="27" max="27" width="12.28515625" style="67" customWidth="1" collapsed="1"/>
    <col min="28" max="28" width="13.42578125" style="67" hidden="1" customWidth="1" outlineLevel="1"/>
    <col min="29" max="29" width="9.7109375" style="67" hidden="1" customWidth="1" outlineLevel="1"/>
    <col min="30" max="32" width="11.5703125" style="67" hidden="1" customWidth="1" outlineLevel="1"/>
    <col min="33" max="33" width="14.42578125" style="67" hidden="1" customWidth="1" outlineLevel="1"/>
    <col min="34" max="34" width="11.5703125" style="67" bestFit="1" customWidth="1" collapsed="1"/>
    <col min="35" max="35" width="13.7109375" style="67" customWidth="1"/>
    <col min="36" max="36" width="6.85546875" style="67" bestFit="1" customWidth="1"/>
    <col min="37" max="37" width="2" style="74" customWidth="1"/>
    <col min="38" max="38" width="15" style="74" hidden="1" customWidth="1" outlineLevel="1"/>
    <col min="39" max="39" width="11.85546875" style="67" hidden="1" customWidth="1" outlineLevel="1"/>
    <col min="40" max="40" width="11" style="67" bestFit="1" customWidth="1" collapsed="1"/>
    <col min="41" max="41" width="6.42578125" style="67" customWidth="1"/>
    <col min="42" max="42" width="8.42578125" style="67" bestFit="1" customWidth="1"/>
    <col min="43" max="16384" width="11" style="67"/>
  </cols>
  <sheetData>
    <row r="2" spans="2:42" ht="18">
      <c r="B2" s="205" t="s">
        <v>137</v>
      </c>
    </row>
    <row r="3" spans="2:42" ht="20.25">
      <c r="B3" s="206" t="s">
        <v>146</v>
      </c>
    </row>
    <row r="5" spans="2:42">
      <c r="B5" s="128" t="s">
        <v>38</v>
      </c>
      <c r="C5" s="252" t="s">
        <v>105</v>
      </c>
      <c r="D5" s="253"/>
    </row>
    <row r="6" spans="2:42">
      <c r="B6" s="67"/>
      <c r="F6" s="244" t="s">
        <v>100</v>
      </c>
      <c r="G6" s="245"/>
      <c r="H6" s="245"/>
      <c r="I6" s="245"/>
      <c r="J6" s="245"/>
      <c r="K6" s="245"/>
      <c r="L6" s="245"/>
      <c r="M6" s="245"/>
      <c r="N6" s="245"/>
      <c r="O6" s="245"/>
      <c r="P6" s="245"/>
      <c r="Q6" s="245"/>
      <c r="R6" s="246"/>
      <c r="U6" s="247" t="s">
        <v>101</v>
      </c>
      <c r="V6" s="248"/>
      <c r="W6" s="248"/>
      <c r="X6" s="248"/>
      <c r="Y6" s="248"/>
      <c r="Z6" s="248"/>
      <c r="AA6" s="248"/>
      <c r="AB6" s="248"/>
      <c r="AC6" s="248"/>
      <c r="AD6" s="248"/>
      <c r="AE6" s="248"/>
      <c r="AF6" s="248"/>
      <c r="AG6" s="248"/>
      <c r="AH6" s="248"/>
      <c r="AI6" s="248"/>
      <c r="AJ6" s="249"/>
    </row>
    <row r="7" spans="2:42">
      <c r="F7" s="260" t="s">
        <v>107</v>
      </c>
      <c r="G7" s="261"/>
      <c r="H7" s="261"/>
      <c r="I7" s="261"/>
      <c r="J7" s="262"/>
      <c r="K7" s="254" t="s">
        <v>96</v>
      </c>
      <c r="L7" s="255"/>
      <c r="M7" s="255"/>
      <c r="N7" s="255"/>
      <c r="O7" s="255"/>
      <c r="P7" s="256"/>
      <c r="Q7" s="254" t="s">
        <v>99</v>
      </c>
      <c r="R7" s="256"/>
      <c r="U7" s="240" t="s">
        <v>107</v>
      </c>
      <c r="V7" s="241"/>
      <c r="W7" s="241"/>
      <c r="X7" s="241"/>
      <c r="Y7" s="242"/>
      <c r="Z7" s="240" t="s">
        <v>133</v>
      </c>
      <c r="AA7" s="242"/>
      <c r="AB7" s="240" t="s">
        <v>104</v>
      </c>
      <c r="AC7" s="241"/>
      <c r="AD7" s="241"/>
      <c r="AE7" s="241"/>
      <c r="AF7" s="241"/>
      <c r="AG7" s="241"/>
      <c r="AH7" s="242"/>
      <c r="AI7" s="240" t="s">
        <v>99</v>
      </c>
      <c r="AJ7" s="242"/>
    </row>
    <row r="8" spans="2:42">
      <c r="B8" s="68" t="s">
        <v>86</v>
      </c>
      <c r="C8" s="148" t="s">
        <v>38</v>
      </c>
      <c r="D8" s="147" t="s">
        <v>88</v>
      </c>
      <c r="E8" s="258" t="s">
        <v>89</v>
      </c>
      <c r="F8" s="142" t="s">
        <v>54</v>
      </c>
      <c r="G8" s="82" t="s">
        <v>91</v>
      </c>
      <c r="H8" s="85" t="s">
        <v>54</v>
      </c>
      <c r="I8" s="85" t="s">
        <v>91</v>
      </c>
      <c r="J8" s="86" t="s">
        <v>92</v>
      </c>
      <c r="K8" s="142" t="s">
        <v>78</v>
      </c>
      <c r="L8" s="142" t="s">
        <v>50</v>
      </c>
      <c r="M8" s="82" t="s">
        <v>91</v>
      </c>
      <c r="N8" s="82" t="s">
        <v>50</v>
      </c>
      <c r="O8" s="82" t="s">
        <v>91</v>
      </c>
      <c r="P8" s="143" t="s">
        <v>92</v>
      </c>
      <c r="Q8" s="238" t="s">
        <v>98</v>
      </c>
      <c r="R8" s="239"/>
      <c r="U8" s="145" t="s">
        <v>54</v>
      </c>
      <c r="V8" s="91" t="s">
        <v>91</v>
      </c>
      <c r="W8" s="92" t="s">
        <v>54</v>
      </c>
      <c r="X8" s="92" t="s">
        <v>91</v>
      </c>
      <c r="Y8" s="93" t="s">
        <v>92</v>
      </c>
      <c r="Z8" s="198"/>
      <c r="AA8" s="197" t="s">
        <v>92</v>
      </c>
      <c r="AB8" s="145" t="s">
        <v>90</v>
      </c>
      <c r="AC8" s="91" t="s">
        <v>50</v>
      </c>
      <c r="AD8" s="91" t="s">
        <v>91</v>
      </c>
      <c r="AE8" s="91" t="s">
        <v>90</v>
      </c>
      <c r="AF8" s="91" t="s">
        <v>50</v>
      </c>
      <c r="AG8" s="91" t="s">
        <v>91</v>
      </c>
      <c r="AH8" s="146" t="s">
        <v>92</v>
      </c>
      <c r="AI8" s="250" t="s">
        <v>98</v>
      </c>
      <c r="AJ8" s="251"/>
      <c r="AK8" s="67"/>
      <c r="AL8" s="144" t="s">
        <v>107</v>
      </c>
      <c r="AM8" s="144" t="s">
        <v>96</v>
      </c>
      <c r="AN8" s="243" t="s">
        <v>92</v>
      </c>
      <c r="AO8" s="243"/>
    </row>
    <row r="9" spans="2:42" s="74" customFormat="1">
      <c r="B9" s="71" t="s">
        <v>87</v>
      </c>
      <c r="C9" s="72" t="s">
        <v>53</v>
      </c>
      <c r="D9" s="73" t="s">
        <v>37</v>
      </c>
      <c r="E9" s="259"/>
      <c r="F9" s="73" t="s">
        <v>58</v>
      </c>
      <c r="G9" s="73" t="s">
        <v>12</v>
      </c>
      <c r="H9" s="77" t="s">
        <v>93</v>
      </c>
      <c r="I9" s="77" t="s">
        <v>93</v>
      </c>
      <c r="J9" s="77" t="s">
        <v>93</v>
      </c>
      <c r="K9" s="73" t="s">
        <v>79</v>
      </c>
      <c r="L9" s="73" t="s">
        <v>97</v>
      </c>
      <c r="M9" s="73" t="s">
        <v>12</v>
      </c>
      <c r="N9" s="73" t="s">
        <v>93</v>
      </c>
      <c r="O9" s="73" t="s">
        <v>93</v>
      </c>
      <c r="P9" s="73" t="s">
        <v>93</v>
      </c>
      <c r="Q9" s="73" t="s">
        <v>93</v>
      </c>
      <c r="R9" s="73" t="s">
        <v>12</v>
      </c>
      <c r="T9" s="137" t="s">
        <v>89</v>
      </c>
      <c r="U9" s="73" t="s">
        <v>58</v>
      </c>
      <c r="V9" s="73" t="s">
        <v>113</v>
      </c>
      <c r="W9" s="77" t="s">
        <v>93</v>
      </c>
      <c r="X9" s="77" t="s">
        <v>93</v>
      </c>
      <c r="Y9" s="77" t="s">
        <v>93</v>
      </c>
      <c r="Z9" s="73" t="s">
        <v>12</v>
      </c>
      <c r="AA9" s="77" t="s">
        <v>93</v>
      </c>
      <c r="AB9" s="73" t="s">
        <v>58</v>
      </c>
      <c r="AC9" s="73" t="s">
        <v>97</v>
      </c>
      <c r="AD9" s="73" t="s">
        <v>12</v>
      </c>
      <c r="AE9" s="73" t="s">
        <v>93</v>
      </c>
      <c r="AF9" s="73" t="s">
        <v>93</v>
      </c>
      <c r="AG9" s="73" t="s">
        <v>93</v>
      </c>
      <c r="AH9" s="73" t="s">
        <v>93</v>
      </c>
      <c r="AI9" s="73" t="s">
        <v>93</v>
      </c>
      <c r="AJ9" s="73" t="s">
        <v>12</v>
      </c>
      <c r="AL9" s="101" t="s">
        <v>102</v>
      </c>
      <c r="AM9" s="101" t="s">
        <v>102</v>
      </c>
      <c r="AN9" s="103" t="s">
        <v>103</v>
      </c>
      <c r="AO9" s="104" t="s">
        <v>53</v>
      </c>
      <c r="AP9" s="191" t="s">
        <v>126</v>
      </c>
    </row>
    <row r="10" spans="2:42">
      <c r="B10" s="111">
        <v>2.74</v>
      </c>
      <c r="C10" s="112">
        <f>IF($C$5&lt;&gt;"Memoria CNMC",$C$5,IF(B10&gt;'Tipología Clientes'!$C$16,'Tipología Clientes'!$L$16,IF(B10&gt;'Tipología Clientes'!$C$15,'Tipología Clientes'!$L$15,IF(B10&gt;'Tipología Clientes'!$C$14,'Tipología Clientes'!$L$14,IF(B10&gt;'Tipología Clientes'!$C$13,'Tipología Clientes'!$L$13,IF(B10&gt;'Tipología Clientes'!$C$12,'Tipología Clientes'!$L$12,IF(B10&gt;'Tipología Clientes'!$C$11,'Tipología Clientes'!$L$11,IF(B10&gt;'Tipología Clientes'!$C$10,'Tipología Clientes'!$L$10,IF(B10&gt;'Tipología Clientes'!$C$9,'Tipología Clientes'!$L$9,IF(B10&gt;'Tipología Clientes'!$C$8,'Tipología Clientes'!$L$8,IF(B10&gt;'Tipología Clientes'!$C$7,'Tipología Clientes'!$L$7,'Tipología Clientes'!$L$6)))))))))))</f>
        <v>0.41011804141973951</v>
      </c>
      <c r="D10" s="113">
        <f>B10/365/C10</f>
        <v>1.8304118709533999E-2</v>
      </c>
      <c r="E10" s="76" t="str">
        <f>IF(B10&gt;'Peajes Actuales'!$C$14,'Peajes Actuales'!$B$14,IF(B10&gt;'Peajes Actuales'!$C$13,'Peajes Actuales'!$B$13,IF(B10&gt;'Peajes Actuales'!$C$12,'Peajes Actuales'!$B$12,'Peajes Actuales'!$B$11)))</f>
        <v>3.1</v>
      </c>
      <c r="F10" s="88">
        <f>'Peajes Actuales'!$H$36</f>
        <v>28.805999999999997</v>
      </c>
      <c r="G10" s="88">
        <f>'Peajes Actuales'!$I$36</f>
        <v>0.17100000000000001</v>
      </c>
      <c r="H10" s="123">
        <f>D10*F10*12</f>
        <v>6.3272213225620355</v>
      </c>
      <c r="I10" s="123">
        <f>B10*G10</f>
        <v>0.46854000000000007</v>
      </c>
      <c r="J10" s="122">
        <f>H10+I10</f>
        <v>6.7957613225620355</v>
      </c>
      <c r="K10" s="88">
        <f>VLOOKUP(E10,'Peajes Actuales'!$B$11:$L$14,11,FALSE)</f>
        <v>0.61199999999999999</v>
      </c>
      <c r="L10" s="87">
        <f>VLOOKUP(E10,'Peajes Actuales'!$B$11:$J$14,8,FALSE)*K10</f>
        <v>1.54836</v>
      </c>
      <c r="M10" s="90">
        <f>VLOOKUP(E10,'Peajes Actuales'!$B$11:$J$14,9,FALSE)*K10</f>
        <v>17.923643999999999</v>
      </c>
      <c r="N10" s="123">
        <f>L10*12</f>
        <v>18.58032</v>
      </c>
      <c r="O10" s="123">
        <f>B10*M10</f>
        <v>49.110784559999999</v>
      </c>
      <c r="P10" s="122">
        <f>SUM(N10:O10)</f>
        <v>67.691104559999999</v>
      </c>
      <c r="Q10" s="124">
        <f>J10+P10</f>
        <v>74.486865882562029</v>
      </c>
      <c r="R10" s="79">
        <f>Q10/B10</f>
        <v>27.184987548380299</v>
      </c>
      <c r="T10" s="76" t="str">
        <f>IF(B10&gt;'Peajes Circular CNMC'!$C$23,'Peajes Circular CNMC'!$B$23,IF(B10&gt;'Peajes Circular CNMC'!$C$22,'Peajes Circular CNMC'!$B$22,IF(B10&gt;'Peajes Circular CNMC'!$C$21,'Peajes Circular CNMC'!$B$21,IF(B10&gt;'Peajes Circular CNMC'!$C$20,'Peajes Circular CNMC'!$B$20,IF(B10&gt;'Peajes Circular CNMC'!$C$19,'Peajes Circular CNMC'!$B$19,IF(B10&gt;'Peajes Circular CNMC'!$C$18,'Peajes Circular CNMC'!$B$18,IF(B10&gt;'Peajes Circular CNMC'!$C$17,'Peajes Circular CNMC'!$B$17,IF(B10&gt;'Peajes Circular CNMC'!$C$16,'Peajes Circular CNMC'!$B$16,IF(B10&gt;'Peajes Circular CNMC'!$C$15,'Peajes Circular CNMC'!$B$15,IF(B10&gt;'Peajes Circular CNMC'!$C$14,'Peajes Circular CNMC'!$B$14,'Peajes Circular CNMC'!$B$13))))))))))</f>
        <v>D.1</v>
      </c>
      <c r="U10" s="96">
        <f>'Peajes Circular CNMC'!$H$42</f>
        <v>26.201279999999997</v>
      </c>
      <c r="V10" s="88">
        <f>'Peajes Circular CNMC'!$I$42</f>
        <v>0.11939999999999999</v>
      </c>
      <c r="W10" s="123">
        <f>12*U10*D10</f>
        <v>5.7550960735408667</v>
      </c>
      <c r="X10" s="123">
        <f>V10*B10</f>
        <v>0.327156</v>
      </c>
      <c r="Y10" s="122">
        <f>W10+X10</f>
        <v>6.0822520735408663</v>
      </c>
      <c r="Z10" s="88">
        <f>'Peajes Circular CNMC'!$H$35</f>
        <v>0.26106499999999999</v>
      </c>
      <c r="AA10" s="122">
        <f>B10*Z10</f>
        <v>0.71531810000000007</v>
      </c>
      <c r="AB10" s="98">
        <f>VLOOKUP(T10,'Peajes Circular CNMC'!$B$13:$J$23,7,FALSE)</f>
        <v>0</v>
      </c>
      <c r="AC10" s="87">
        <f>VLOOKUP(T10,'Peajes Circular CNMC'!$B$13:$J$23,8,FALSE)</f>
        <v>0.51300000000000001</v>
      </c>
      <c r="AD10" s="87">
        <f>VLOOKUP(T10,'Peajes Circular CNMC'!$B$13:$J$23,9,FALSE)</f>
        <v>15.61</v>
      </c>
      <c r="AE10" s="123">
        <f>12*AB10*D10</f>
        <v>0</v>
      </c>
      <c r="AF10" s="123">
        <f>12*AC10</f>
        <v>6.1560000000000006</v>
      </c>
      <c r="AG10" s="123">
        <f>AD10*B10</f>
        <v>42.7714</v>
      </c>
      <c r="AH10" s="122">
        <f>AE10+AF10+AG10</f>
        <v>48.927399999999999</v>
      </c>
      <c r="AI10" s="124">
        <f>Y10+AA10+AH10</f>
        <v>55.724970173540868</v>
      </c>
      <c r="AJ10" s="79">
        <f>AI10/B10</f>
        <v>20.337580355306883</v>
      </c>
      <c r="AK10" s="67"/>
      <c r="AL10" s="75">
        <f>(Y10-J10)/J10</f>
        <v>-0.10499327671386974</v>
      </c>
      <c r="AM10" s="100">
        <f>(AH10-P10)/P10</f>
        <v>-0.27719601684691436</v>
      </c>
      <c r="AN10" s="125">
        <f>AI10-Q10</f>
        <v>-18.761895709021161</v>
      </c>
      <c r="AO10" s="100">
        <f>AN10/Q10</f>
        <v>-0.25188193229396527</v>
      </c>
      <c r="AP10" s="192">
        <f>AJ10-R10</f>
        <v>-6.8474071930734155</v>
      </c>
    </row>
    <row r="11" spans="2:42">
      <c r="B11" s="111">
        <v>9.8190000000000008</v>
      </c>
      <c r="C11" s="112">
        <f>IF($C$5&lt;&gt;"Memoria CNMC",$C$5,IF(B11&gt;'Tipología Clientes'!$C$16,'Tipología Clientes'!$L$16,IF(B11&gt;'Tipología Clientes'!$C$15,'Tipología Clientes'!$L$15,IF(B11&gt;'Tipología Clientes'!$C$14,'Tipología Clientes'!$L$14,IF(B11&gt;'Tipología Clientes'!$C$13,'Tipología Clientes'!$L$13,IF(B11&gt;'Tipología Clientes'!$C$12,'Tipología Clientes'!$L$12,IF(B11&gt;'Tipología Clientes'!$C$11,'Tipología Clientes'!$L$11,IF(B11&gt;'Tipología Clientes'!$C$10,'Tipología Clientes'!$L$10,IF(B11&gt;'Tipología Clientes'!$C$9,'Tipología Clientes'!$L$9,IF(B11&gt;'Tipología Clientes'!$C$8,'Tipología Clientes'!$L$8,IF(B11&gt;'Tipología Clientes'!$C$7,'Tipología Clientes'!$L$7,'Tipología Clientes'!$L$6)))))))))))</f>
        <v>0.37354729180664842</v>
      </c>
      <c r="D11" s="113">
        <f t="shared" ref="D11:D13" si="0">B11/365/C11</f>
        <v>7.2015968133261429E-2</v>
      </c>
      <c r="E11" s="76" t="str">
        <f>IF(B11&gt;'Peajes Actuales'!$C$14,'Peajes Actuales'!$B$14,IF(B11&gt;'Peajes Actuales'!$C$13,'Peajes Actuales'!$B$13,IF(B11&gt;'Peajes Actuales'!$C$12,'Peajes Actuales'!$B$12,'Peajes Actuales'!$B$11)))</f>
        <v>3.2</v>
      </c>
      <c r="F11" s="88">
        <f>'Peajes Actuales'!$H$36</f>
        <v>28.805999999999997</v>
      </c>
      <c r="G11" s="88">
        <f>'Peajes Actuales'!$I$36</f>
        <v>0.17100000000000001</v>
      </c>
      <c r="H11" s="123">
        <f t="shared" ref="H11:H13" si="1">D11*F11*12</f>
        <v>24.893903736560745</v>
      </c>
      <c r="I11" s="123">
        <f t="shared" ref="I11:I13" si="2">B11*G11</f>
        <v>1.6790490000000002</v>
      </c>
      <c r="J11" s="122">
        <f t="shared" ref="J11:J13" si="3">H11+I11</f>
        <v>26.572952736560744</v>
      </c>
      <c r="K11" s="88">
        <f>VLOOKUP(E11,'Peajes Actuales'!$B$11:$L$14,11,FALSE)</f>
        <v>0.61499999999999999</v>
      </c>
      <c r="L11" s="87">
        <f>VLOOKUP(E11,'Peajes Actuales'!$B$11:$J$14,8,FALSE)*K11</f>
        <v>3.5608499999999998</v>
      </c>
      <c r="M11" s="90">
        <f>VLOOKUP(E11,'Peajes Actuales'!$B$11:$J$14,9,FALSE)*K11</f>
        <v>13.783994999999999</v>
      </c>
      <c r="N11" s="123">
        <f t="shared" ref="N11:N13" si="4">L11*12</f>
        <v>42.730199999999996</v>
      </c>
      <c r="O11" s="123">
        <f>B11*M11</f>
        <v>135.345046905</v>
      </c>
      <c r="P11" s="122">
        <f t="shared" ref="P11:P13" si="5">SUM(N11:O11)</f>
        <v>178.075246905</v>
      </c>
      <c r="Q11" s="124">
        <f t="shared" ref="Q11:Q13" si="6">J11+P11</f>
        <v>204.64819964156075</v>
      </c>
      <c r="R11" s="79">
        <f>Q11/B11</f>
        <v>20.842061273201011</v>
      </c>
      <c r="T11" s="76" t="str">
        <f>IF(B11&gt;'Peajes Circular CNMC'!$C$23,'Peajes Circular CNMC'!$B$23,IF(B11&gt;'Peajes Circular CNMC'!$C$22,'Peajes Circular CNMC'!$B$22,IF(B11&gt;'Peajes Circular CNMC'!$C$21,'Peajes Circular CNMC'!$B$21,IF(B11&gt;'Peajes Circular CNMC'!$C$20,'Peajes Circular CNMC'!$B$20,IF(B11&gt;'Peajes Circular CNMC'!$C$19,'Peajes Circular CNMC'!$B$19,IF(B11&gt;'Peajes Circular CNMC'!$C$18,'Peajes Circular CNMC'!$B$18,IF(B11&gt;'Peajes Circular CNMC'!$C$17,'Peajes Circular CNMC'!$B$17,IF(B11&gt;'Peajes Circular CNMC'!$C$16,'Peajes Circular CNMC'!$B$16,IF(B11&gt;'Peajes Circular CNMC'!$C$15,'Peajes Circular CNMC'!$B$15,IF(B11&gt;'Peajes Circular CNMC'!$C$14,'Peajes Circular CNMC'!$B$14,'Peajes Circular CNMC'!$B$13))))))))))</f>
        <v>D.2</v>
      </c>
      <c r="U11" s="96">
        <f>'Peajes Circular CNMC'!$H$42</f>
        <v>26.201279999999997</v>
      </c>
      <c r="V11" s="88">
        <f>'Peajes Circular CNMC'!$I$42</f>
        <v>0.11939999999999999</v>
      </c>
      <c r="W11" s="123">
        <f>12*U11*D11</f>
        <v>22.642926546367917</v>
      </c>
      <c r="X11" s="123">
        <f>V11*B11</f>
        <v>1.1723886000000001</v>
      </c>
      <c r="Y11" s="122">
        <f t="shared" ref="Y11:Y13" si="7">W11+X11</f>
        <v>23.815315146367919</v>
      </c>
      <c r="Z11" s="88">
        <f>'Peajes Circular CNMC'!$H$35</f>
        <v>0.26106499999999999</v>
      </c>
      <c r="AA11" s="122">
        <f t="shared" ref="AA11:AA13" si="8">B11*Z11</f>
        <v>2.5633972350000001</v>
      </c>
      <c r="AB11" s="98">
        <f>VLOOKUP(T11,'Peajes Circular CNMC'!$B$13:$J$23,7,FALSE)</f>
        <v>0</v>
      </c>
      <c r="AC11" s="87">
        <f>VLOOKUP(T11,'Peajes Circular CNMC'!$B$13:$J$23,8,FALSE)</f>
        <v>2.6749999999999998</v>
      </c>
      <c r="AD11" s="87">
        <f>VLOOKUP(T11,'Peajes Circular CNMC'!$B$13:$J$23,9,FALSE)</f>
        <v>16.984999999999999</v>
      </c>
      <c r="AE11" s="123">
        <f>12*AB11*D11</f>
        <v>0</v>
      </c>
      <c r="AF11" s="123">
        <f t="shared" ref="AF11:AF13" si="9">12*AC11</f>
        <v>32.099999999999994</v>
      </c>
      <c r="AG11" s="123">
        <f>AD11*B11</f>
        <v>166.77571500000002</v>
      </c>
      <c r="AH11" s="122">
        <f t="shared" ref="AH11:AH13" si="10">AE11+AF11+AG11</f>
        <v>198.87571500000001</v>
      </c>
      <c r="AI11" s="124">
        <f>Y11+AA11+AH11</f>
        <v>225.25442738136792</v>
      </c>
      <c r="AJ11" s="79">
        <f>AI11/B11</f>
        <v>22.940668844217118</v>
      </c>
      <c r="AK11" s="67"/>
      <c r="AL11" s="75">
        <f>(Y11-J11)/J11</f>
        <v>-0.1037761071391473</v>
      </c>
      <c r="AM11" s="100">
        <f>(AH11-P11)/P11</f>
        <v>0.11680718379740164</v>
      </c>
      <c r="AN11" s="125">
        <f>AI11-Q11</f>
        <v>20.606227739807167</v>
      </c>
      <c r="AO11" s="100">
        <f>AN11/Q11</f>
        <v>0.10069097981755405</v>
      </c>
      <c r="AP11" s="192">
        <f t="shared" ref="AP11:AP13" si="11">AJ11-R11</f>
        <v>2.0986075710161067</v>
      </c>
    </row>
    <row r="12" spans="2:42">
      <c r="B12" s="111">
        <v>71.343000000000004</v>
      </c>
      <c r="C12" s="112">
        <f>IF($C$5&lt;&gt;"Memoria CNMC",$C$5,IF(B12&gt;'Tipología Clientes'!$C$16,'Tipología Clientes'!$L$16,IF(B12&gt;'Tipología Clientes'!$C$15,'Tipología Clientes'!$L$15,IF(B12&gt;'Tipología Clientes'!$C$14,'Tipología Clientes'!$L$14,IF(B12&gt;'Tipología Clientes'!$C$13,'Tipología Clientes'!$L$13,IF(B12&gt;'Tipología Clientes'!$C$12,'Tipología Clientes'!$L$12,IF(B12&gt;'Tipología Clientes'!$C$11,'Tipología Clientes'!$L$11,IF(B12&gt;'Tipología Clientes'!$C$10,'Tipología Clientes'!$L$10,IF(B12&gt;'Tipología Clientes'!$C$9,'Tipología Clientes'!$L$9,IF(B12&gt;'Tipología Clientes'!$C$8,'Tipología Clientes'!$L$8,IF(B12&gt;'Tipología Clientes'!$C$7,'Tipología Clientes'!$L$7,'Tipología Clientes'!$L$6)))))))))))</f>
        <v>0.43037532312486537</v>
      </c>
      <c r="D12" s="113">
        <f t="shared" si="0"/>
        <v>0.45416236357002648</v>
      </c>
      <c r="E12" s="76" t="str">
        <f>IF(B12&gt;'Peajes Actuales'!$C$14,'Peajes Actuales'!$B$14,IF(B12&gt;'Peajes Actuales'!$C$13,'Peajes Actuales'!$B$13,IF(B12&gt;'Peajes Actuales'!$C$12,'Peajes Actuales'!$B$12,'Peajes Actuales'!$B$11)))</f>
        <v>3.3</v>
      </c>
      <c r="F12" s="88">
        <f>'Peajes Actuales'!$H$36</f>
        <v>28.805999999999997</v>
      </c>
      <c r="G12" s="88">
        <f>'Peajes Actuales'!$I$36</f>
        <v>0.17100000000000001</v>
      </c>
      <c r="H12" s="123">
        <f t="shared" si="1"/>
        <v>156.99121253997816</v>
      </c>
      <c r="I12" s="123">
        <f t="shared" si="2"/>
        <v>12.199653000000001</v>
      </c>
      <c r="J12" s="122">
        <f t="shared" si="3"/>
        <v>169.19086553997818</v>
      </c>
      <c r="K12" s="88">
        <f>VLOOKUP(E12,'Peajes Actuales'!$B$11:$L$14,11,FALSE)</f>
        <v>0.61599999999999999</v>
      </c>
      <c r="L12" s="87">
        <f>VLOOKUP(E12,'Peajes Actuales'!$B$11:$J$14,8,FALSE)*K12</f>
        <v>33.399519999999995</v>
      </c>
      <c r="M12" s="90">
        <f>VLOOKUP(E12,'Peajes Actuales'!$B$11:$J$14,9,FALSE)*K12</f>
        <v>9.9280720000000002</v>
      </c>
      <c r="N12" s="123">
        <f t="shared" si="4"/>
        <v>400.79423999999995</v>
      </c>
      <c r="O12" s="123">
        <f>B12*M12</f>
        <v>708.29844069600006</v>
      </c>
      <c r="P12" s="122">
        <f t="shared" si="5"/>
        <v>1109.0926806960001</v>
      </c>
      <c r="Q12" s="124">
        <f t="shared" si="6"/>
        <v>1278.2835462359783</v>
      </c>
      <c r="R12" s="79">
        <f>Q12/B12</f>
        <v>17.917434734115165</v>
      </c>
      <c r="T12" s="76" t="str">
        <f>IF(B12&gt;'Peajes Circular CNMC'!$C$23,'Peajes Circular CNMC'!$B$23,IF(B12&gt;'Peajes Circular CNMC'!$C$22,'Peajes Circular CNMC'!$B$22,IF(B12&gt;'Peajes Circular CNMC'!$C$21,'Peajes Circular CNMC'!$B$21,IF(B12&gt;'Peajes Circular CNMC'!$C$20,'Peajes Circular CNMC'!$B$20,IF(B12&gt;'Peajes Circular CNMC'!$C$19,'Peajes Circular CNMC'!$B$19,IF(B12&gt;'Peajes Circular CNMC'!$C$18,'Peajes Circular CNMC'!$B$18,IF(B12&gt;'Peajes Circular CNMC'!$C$17,'Peajes Circular CNMC'!$B$17,IF(B12&gt;'Peajes Circular CNMC'!$C$16,'Peajes Circular CNMC'!$B$16,IF(B12&gt;'Peajes Circular CNMC'!$C$15,'Peajes Circular CNMC'!$B$15,IF(B12&gt;'Peajes Circular CNMC'!$C$14,'Peajes Circular CNMC'!$B$14,'Peajes Circular CNMC'!$B$13))))))))))</f>
        <v>D.4</v>
      </c>
      <c r="U12" s="96">
        <f>'Peajes Circular CNMC'!$H$42</f>
        <v>26.201279999999997</v>
      </c>
      <c r="V12" s="88">
        <f>'Peajes Circular CNMC'!$I$42</f>
        <v>0.11939999999999999</v>
      </c>
      <c r="W12" s="123">
        <f>12*U12*D12</f>
        <v>142.79562304032075</v>
      </c>
      <c r="X12" s="123">
        <f>V12*B12</f>
        <v>8.5183541999999992</v>
      </c>
      <c r="Y12" s="122">
        <f t="shared" si="7"/>
        <v>151.31397724032075</v>
      </c>
      <c r="Z12" s="88">
        <f>'Peajes Circular CNMC'!$H$35</f>
        <v>0.26106499999999999</v>
      </c>
      <c r="AA12" s="122">
        <f t="shared" si="8"/>
        <v>18.625160295000001</v>
      </c>
      <c r="AB12" s="98">
        <f>VLOOKUP(T12,'Peajes Circular CNMC'!$B$13:$J$23,7,FALSE)</f>
        <v>0</v>
      </c>
      <c r="AC12" s="87">
        <f>VLOOKUP(T12,'Peajes Circular CNMC'!$B$13:$J$23,8,FALSE)</f>
        <v>45.389000000000003</v>
      </c>
      <c r="AD12" s="87">
        <f>VLOOKUP(T12,'Peajes Circular CNMC'!$B$13:$J$23,9,FALSE)</f>
        <v>14.335000000000001</v>
      </c>
      <c r="AE12" s="123">
        <f>12*AB12*D12</f>
        <v>0</v>
      </c>
      <c r="AF12" s="123">
        <f t="shared" si="9"/>
        <v>544.66800000000001</v>
      </c>
      <c r="AG12" s="123">
        <f>AD12*B12</f>
        <v>1022.7019050000001</v>
      </c>
      <c r="AH12" s="122">
        <f t="shared" si="10"/>
        <v>1567.369905</v>
      </c>
      <c r="AI12" s="124">
        <f>Y12+AA12+AH12</f>
        <v>1737.3090425353207</v>
      </c>
      <c r="AJ12" s="79">
        <f>AI12/B12</f>
        <v>24.351499692125657</v>
      </c>
      <c r="AK12" s="67"/>
      <c r="AL12" s="75">
        <f>(Y12-J12)/J12</f>
        <v>-0.10566107243794014</v>
      </c>
      <c r="AM12" s="100">
        <f>(AH12-P12)/P12</f>
        <v>0.41320011598707201</v>
      </c>
      <c r="AN12" s="125">
        <f>AI12-Q12</f>
        <v>459.02549629934242</v>
      </c>
      <c r="AO12" s="100">
        <f>AN12/Q12</f>
        <v>0.35909520829786518</v>
      </c>
      <c r="AP12" s="192">
        <f t="shared" si="11"/>
        <v>6.4340649580104916</v>
      </c>
    </row>
    <row r="13" spans="2:42">
      <c r="B13" s="105">
        <v>475</v>
      </c>
      <c r="C13" s="112">
        <f>IF($C$5&lt;&gt;"Memoria CNMC",$C$5,IF(B13&gt;'Tipología Clientes'!$C$16,'Tipología Clientes'!$L$16,IF(B13&gt;'Tipología Clientes'!$C$15,'Tipología Clientes'!$L$15,IF(B13&gt;'Tipología Clientes'!$C$14,'Tipología Clientes'!$L$14,IF(B13&gt;'Tipología Clientes'!$C$13,'Tipología Clientes'!$L$13,IF(B13&gt;'Tipología Clientes'!$C$12,'Tipología Clientes'!$L$12,IF(B13&gt;'Tipología Clientes'!$C$11,'Tipología Clientes'!$L$11,IF(B13&gt;'Tipología Clientes'!$C$10,'Tipología Clientes'!$L$10,IF(B13&gt;'Tipología Clientes'!$C$9,'Tipología Clientes'!$L$9,IF(B13&gt;'Tipología Clientes'!$C$8,'Tipología Clientes'!$L$8,IF(B13&gt;'Tipología Clientes'!$C$7,'Tipología Clientes'!$L$7,'Tipología Clientes'!$L$6)))))))))))</f>
        <v>0.41959262584789264</v>
      </c>
      <c r="D13" s="113">
        <f t="shared" si="0"/>
        <v>3.1015079456745767</v>
      </c>
      <c r="E13" s="76" t="str">
        <f>IF(B13&gt;'Peajes Actuales'!$C$14,'Peajes Actuales'!$B$14,IF(B13&gt;'Peajes Actuales'!$C$13,'Peajes Actuales'!$B$13,IF(B13&gt;'Peajes Actuales'!$C$12,'Peajes Actuales'!$B$12,'Peajes Actuales'!$B$11)))</f>
        <v>3.4</v>
      </c>
      <c r="F13" s="88">
        <f>'Peajes Actuales'!$H$36</f>
        <v>28.805999999999997</v>
      </c>
      <c r="G13" s="88">
        <f>'Peajes Actuales'!$I$36</f>
        <v>0.17100000000000001</v>
      </c>
      <c r="H13" s="123">
        <f t="shared" si="1"/>
        <v>1072.1044545972222</v>
      </c>
      <c r="I13" s="123">
        <f t="shared" si="2"/>
        <v>81.225000000000009</v>
      </c>
      <c r="J13" s="122">
        <f t="shared" si="3"/>
        <v>1153.3294545972221</v>
      </c>
      <c r="K13" s="88">
        <f>VLOOKUP(E13,'Peajes Actuales'!$B$11:$L$14,11,FALSE)</f>
        <v>0.72199999999999998</v>
      </c>
      <c r="L13" s="87">
        <f>VLOOKUP(E13,'Peajes Actuales'!$B$11:$J$14,8,FALSE)*K13</f>
        <v>58.460339999999995</v>
      </c>
      <c r="M13" s="90">
        <f>VLOOKUP(E13,'Peajes Actuales'!$B$11:$J$14,9,FALSE)*K13</f>
        <v>9.3946640000000006</v>
      </c>
      <c r="N13" s="123">
        <f t="shared" si="4"/>
        <v>701.52407999999991</v>
      </c>
      <c r="O13" s="123">
        <f>B13*M13</f>
        <v>4462.4654</v>
      </c>
      <c r="P13" s="122">
        <f t="shared" si="5"/>
        <v>5163.9894800000002</v>
      </c>
      <c r="Q13" s="124">
        <f t="shared" si="6"/>
        <v>6317.3189345972223</v>
      </c>
      <c r="R13" s="79">
        <f>Q13/B13</f>
        <v>13.299618809678362</v>
      </c>
      <c r="T13" s="76" t="str">
        <f>IF(B13&gt;'Peajes Circular CNMC'!$C$23,'Peajes Circular CNMC'!$B$23,IF(B13&gt;'Peajes Circular CNMC'!$C$22,'Peajes Circular CNMC'!$B$22,IF(B13&gt;'Peajes Circular CNMC'!$C$21,'Peajes Circular CNMC'!$B$21,IF(B13&gt;'Peajes Circular CNMC'!$C$20,'Peajes Circular CNMC'!$B$20,IF(B13&gt;'Peajes Circular CNMC'!$C$19,'Peajes Circular CNMC'!$B$19,IF(B13&gt;'Peajes Circular CNMC'!$C$18,'Peajes Circular CNMC'!$B$18,IF(B13&gt;'Peajes Circular CNMC'!$C$17,'Peajes Circular CNMC'!$B$17,IF(B13&gt;'Peajes Circular CNMC'!$C$16,'Peajes Circular CNMC'!$B$16,IF(B13&gt;'Peajes Circular CNMC'!$C$15,'Peajes Circular CNMC'!$B$15,IF(B13&gt;'Peajes Circular CNMC'!$C$14,'Peajes Circular CNMC'!$B$14,'Peajes Circular CNMC'!$B$13))))))))))</f>
        <v>D.5</v>
      </c>
      <c r="U13" s="96">
        <f>'Peajes Circular CNMC'!$H$42</f>
        <v>26.201279999999997</v>
      </c>
      <c r="V13" s="88">
        <f>'Peajes Circular CNMC'!$I$42</f>
        <v>0.11939999999999999</v>
      </c>
      <c r="W13" s="123">
        <f>12*U13*D13</f>
        <v>975.16173728213232</v>
      </c>
      <c r="X13" s="123">
        <f>V13*B13</f>
        <v>56.714999999999996</v>
      </c>
      <c r="Y13" s="122">
        <f t="shared" si="7"/>
        <v>1031.8767372821324</v>
      </c>
      <c r="Z13" s="88">
        <f>'Peajes Circular CNMC'!$H$35</f>
        <v>0.26106499999999999</v>
      </c>
      <c r="AA13" s="122">
        <f t="shared" si="8"/>
        <v>124.00587499999999</v>
      </c>
      <c r="AB13" s="98">
        <f>VLOOKUP(T13,'Peajes Circular CNMC'!$B$13:$J$23,7,FALSE)</f>
        <v>0</v>
      </c>
      <c r="AC13" s="87">
        <f>VLOOKUP(T13,'Peajes Circular CNMC'!$B$13:$J$23,8,FALSE)</f>
        <v>221.929</v>
      </c>
      <c r="AD13" s="87">
        <f>VLOOKUP(T13,'Peajes Circular CNMC'!$B$13:$J$23,9,FALSE)</f>
        <v>14.445</v>
      </c>
      <c r="AE13" s="123">
        <f>12*AB13*D13</f>
        <v>0</v>
      </c>
      <c r="AF13" s="123">
        <f t="shared" si="9"/>
        <v>2663.1480000000001</v>
      </c>
      <c r="AG13" s="123">
        <f>AD13*B13</f>
        <v>6861.375</v>
      </c>
      <c r="AH13" s="122">
        <f t="shared" si="10"/>
        <v>9524.523000000001</v>
      </c>
      <c r="AI13" s="124">
        <f>Y13+AA13+AH13</f>
        <v>10680.405612282133</v>
      </c>
      <c r="AJ13" s="79">
        <f>AI13/B13</f>
        <v>22.485064446909753</v>
      </c>
      <c r="AK13" s="67"/>
      <c r="AL13" s="75">
        <f>(Y13-J13)/J13</f>
        <v>-0.10530617841326595</v>
      </c>
      <c r="AM13" s="100">
        <f>(AH13-P13)/P13</f>
        <v>0.84441177444071802</v>
      </c>
      <c r="AN13" s="125">
        <f>AI13-Q13</f>
        <v>4363.0866776849107</v>
      </c>
      <c r="AO13" s="100">
        <f>AN13/Q13</f>
        <v>0.690654805124714</v>
      </c>
      <c r="AP13" s="192">
        <f t="shared" si="11"/>
        <v>9.1854456372313908</v>
      </c>
    </row>
    <row r="25" spans="14:14">
      <c r="N25" s="67" t="e">
        <f>I25/SUM($I$25:$I$29)</f>
        <v>#DIV/0!</v>
      </c>
    </row>
    <row r="29" spans="14:14">
      <c r="N29" s="67" t="e">
        <f>I29/SUM($I$25:$I$29)</f>
        <v>#DIV/0!</v>
      </c>
    </row>
  </sheetData>
  <mergeCells count="14">
    <mergeCell ref="E8:E9"/>
    <mergeCell ref="Q8:R8"/>
    <mergeCell ref="AI8:AJ8"/>
    <mergeCell ref="AN8:AO8"/>
    <mergeCell ref="C5:D5"/>
    <mergeCell ref="F6:R6"/>
    <mergeCell ref="U6:AJ6"/>
    <mergeCell ref="F7:J7"/>
    <mergeCell ref="K7:P7"/>
    <mergeCell ref="Q7:R7"/>
    <mergeCell ref="U7:Y7"/>
    <mergeCell ref="AB7:AH7"/>
    <mergeCell ref="AI7:AJ7"/>
    <mergeCell ref="Z7:AA7"/>
  </mergeCells>
  <conditionalFormatting sqref="AL10:AN13">
    <cfRule type="cellIs" dxfId="19" priority="8" operator="greaterThan">
      <formula>0</formula>
    </cfRule>
  </conditionalFormatting>
  <conditionalFormatting sqref="AO10:AO13">
    <cfRule type="cellIs" dxfId="18" priority="7" operator="greaterThan">
      <formula>0</formula>
    </cfRule>
  </conditionalFormatting>
  <conditionalFormatting sqref="AL10:AN13">
    <cfRule type="cellIs" dxfId="17" priority="6" operator="lessThan">
      <formula>0</formula>
    </cfRule>
  </conditionalFormatting>
  <conditionalFormatting sqref="AO10:AO13">
    <cfRule type="cellIs" dxfId="16" priority="5" operator="lessThan">
      <formula>0</formula>
    </cfRule>
  </conditionalFormatting>
  <conditionalFormatting sqref="AP10:AP13">
    <cfRule type="cellIs" dxfId="15" priority="2" operator="greaterThan">
      <formula>0</formula>
    </cfRule>
  </conditionalFormatting>
  <conditionalFormatting sqref="AP10:AP13">
    <cfRule type="cellIs" dxfId="14" priority="1" operator="lessThan">
      <formula>0</formula>
    </cfRule>
  </conditionalFormatting>
  <dataValidations count="1">
    <dataValidation type="list" allowBlank="1" showInputMessage="1" showErrorMessage="1" sqref="C5">
      <mc:AlternateContent xmlns:x12ac="http://schemas.microsoft.com/office/spreadsheetml/2011/1/ac" xmlns:mc="http://schemas.openxmlformats.org/markup-compatibility/2006">
        <mc:Choice Requires="x12ac">
          <x12ac:list>Memoria CNMC,"0,80","0,85","0,90"</x12ac:list>
        </mc:Choice>
        <mc:Fallback>
          <formula1>"Memoria CNMC,0,80,0,85,0,90"</formula1>
        </mc:Fallback>
      </mc:AlternateContent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1" orientation="landscape" r:id="rId1"/>
  <headerFooter>
    <oddHeader>&amp;LANEXO I: CÁLCULOS DEL IMPACTO INICIAL DE LA NUEVA METODOLOGÍA DE PEAJES SOBRE LOS CLIENTES&amp;R&amp;A</oddHead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2:AU29"/>
  <sheetViews>
    <sheetView showGridLines="0" zoomScale="90" zoomScaleNormal="90" workbookViewId="0">
      <pane ySplit="9" topLeftCell="A10" activePane="bottomLeft" state="frozen"/>
      <selection activeCell="AD62" sqref="AD62"/>
      <selection pane="bottomLeft" activeCell="AD62" sqref="AD62"/>
    </sheetView>
  </sheetViews>
  <sheetFormatPr baseColWidth="10" defaultColWidth="11" defaultRowHeight="16.5" outlineLevelCol="1"/>
  <cols>
    <col min="1" max="1" width="2.140625" style="67" customWidth="1"/>
    <col min="2" max="2" width="10.140625" style="66" customWidth="1"/>
    <col min="3" max="3" width="6.7109375" style="67" customWidth="1"/>
    <col min="4" max="4" width="10.42578125" style="67" customWidth="1"/>
    <col min="5" max="5" width="9" style="67" customWidth="1"/>
    <col min="6" max="6" width="13.42578125" style="67" hidden="1" customWidth="1" outlineLevel="1"/>
    <col min="7" max="7" width="9.7109375" style="67" hidden="1" customWidth="1" outlineLevel="1"/>
    <col min="8" max="8" width="12.5703125" style="67" hidden="1" customWidth="1" outlineLevel="1"/>
    <col min="9" max="9" width="11.5703125" style="67" hidden="1" customWidth="1" outlineLevel="1"/>
    <col min="10" max="10" width="14.140625" style="67" bestFit="1" customWidth="1" collapsed="1"/>
    <col min="11" max="11" width="14.140625" style="67" hidden="1" customWidth="1" outlineLevel="1"/>
    <col min="12" max="12" width="14.140625" style="67" customWidth="1" collapsed="1"/>
    <col min="13" max="13" width="13.42578125" style="67" hidden="1" customWidth="1" outlineLevel="1"/>
    <col min="14" max="14" width="8.28515625" style="67" hidden="1" customWidth="1" outlineLevel="1"/>
    <col min="15" max="16" width="13.42578125" style="67" hidden="1" customWidth="1" outlineLevel="1"/>
    <col min="17" max="17" width="18.28515625" style="67" customWidth="1" collapsed="1"/>
    <col min="18" max="21" width="13.42578125" style="67" hidden="1" customWidth="1" outlineLevel="1"/>
    <col min="22" max="22" width="18.5703125" style="67" customWidth="1" collapsed="1"/>
    <col min="23" max="24" width="13.42578125" style="67" hidden="1" customWidth="1" outlineLevel="1"/>
    <col min="25" max="25" width="7.42578125" style="67" hidden="1" customWidth="1" outlineLevel="1"/>
    <col min="26" max="26" width="12.5703125" style="67" hidden="1" customWidth="1" outlineLevel="1"/>
    <col min="27" max="27" width="11.5703125" style="67" hidden="1" customWidth="1" outlineLevel="1"/>
    <col min="28" max="28" width="12.5703125" style="67" hidden="1" customWidth="1" outlineLevel="1"/>
    <col min="29" max="29" width="14.42578125" style="67" customWidth="1" collapsed="1"/>
    <col min="30" max="30" width="16.7109375" style="67" bestFit="1" customWidth="1"/>
    <col min="31" max="31" width="8.42578125" style="67" customWidth="1"/>
    <col min="32" max="32" width="5.28515625" style="67" customWidth="1"/>
    <col min="33" max="33" width="13.42578125" style="67" hidden="1" customWidth="1" outlineLevel="1"/>
    <col min="34" max="34" width="9.5703125" style="67" hidden="1" customWidth="1" outlineLevel="1"/>
    <col min="35" max="35" width="16.28515625" style="67" hidden="1" customWidth="1" outlineLevel="1"/>
    <col min="36" max="36" width="11.5703125" style="67" hidden="1" customWidth="1" outlineLevel="1"/>
    <col min="37" max="37" width="16.28515625" style="67" bestFit="1" customWidth="1" collapsed="1"/>
    <col min="38" max="38" width="9" style="67" hidden="1" customWidth="1" outlineLevel="1"/>
    <col min="39" max="39" width="14.7109375" style="67" customWidth="1" collapsed="1"/>
    <col min="40" max="40" width="9.42578125" style="67" hidden="1" customWidth="1" outlineLevel="1"/>
    <col min="41" max="41" width="16.28515625" style="67" customWidth="1" collapsed="1"/>
    <col min="42" max="42" width="14.7109375" style="67" customWidth="1"/>
    <col min="43" max="43" width="9.5703125" style="67" customWidth="1"/>
    <col min="44" max="44" width="3" style="67" customWidth="1"/>
    <col min="45" max="45" width="13.85546875" style="67" customWidth="1"/>
    <col min="46" max="46" width="9.42578125" style="67" customWidth="1"/>
    <col min="47" max="47" width="8.42578125" style="67" bestFit="1" customWidth="1"/>
    <col min="48" max="16384" width="11" style="67"/>
  </cols>
  <sheetData>
    <row r="2" spans="2:47" ht="18">
      <c r="B2" s="205" t="s">
        <v>137</v>
      </c>
    </row>
    <row r="3" spans="2:47" ht="20.25">
      <c r="B3" s="206" t="s">
        <v>142</v>
      </c>
    </row>
    <row r="5" spans="2:47">
      <c r="B5" s="128" t="s">
        <v>38</v>
      </c>
      <c r="C5" s="252">
        <v>0.85</v>
      </c>
      <c r="D5" s="253"/>
    </row>
    <row r="6" spans="2:47">
      <c r="B6" s="126" t="s">
        <v>108</v>
      </c>
      <c r="C6" s="130"/>
      <c r="D6" s="134">
        <v>250</v>
      </c>
      <c r="F6" s="247" t="s">
        <v>101</v>
      </c>
      <c r="G6" s="248"/>
      <c r="H6" s="248"/>
      <c r="I6" s="248"/>
      <c r="J6" s="248"/>
      <c r="K6" s="248"/>
      <c r="L6" s="248"/>
      <c r="M6" s="248"/>
      <c r="N6" s="248"/>
      <c r="O6" s="248"/>
      <c r="P6" s="248"/>
      <c r="Q6" s="248"/>
      <c r="R6" s="248"/>
      <c r="S6" s="248"/>
      <c r="T6" s="248"/>
      <c r="U6" s="248"/>
      <c r="V6" s="248"/>
      <c r="W6" s="248"/>
      <c r="X6" s="248"/>
      <c r="Y6" s="248"/>
      <c r="Z6" s="248"/>
      <c r="AA6" s="248"/>
      <c r="AB6" s="248"/>
      <c r="AC6" s="248"/>
      <c r="AD6" s="248"/>
      <c r="AE6" s="249"/>
      <c r="AG6" s="247" t="s">
        <v>115</v>
      </c>
      <c r="AH6" s="248"/>
      <c r="AI6" s="248"/>
      <c r="AJ6" s="248"/>
      <c r="AK6" s="248"/>
      <c r="AL6" s="248"/>
      <c r="AM6" s="248"/>
      <c r="AN6" s="248"/>
      <c r="AO6" s="248"/>
      <c r="AP6" s="248"/>
      <c r="AQ6" s="249"/>
    </row>
    <row r="7" spans="2:47">
      <c r="F7" s="240" t="s">
        <v>94</v>
      </c>
      <c r="G7" s="241"/>
      <c r="H7" s="241"/>
      <c r="I7" s="241"/>
      <c r="J7" s="242"/>
      <c r="K7" s="240" t="s">
        <v>133</v>
      </c>
      <c r="L7" s="242"/>
      <c r="M7" s="240" t="s">
        <v>134</v>
      </c>
      <c r="N7" s="241"/>
      <c r="O7" s="241"/>
      <c r="P7" s="241"/>
      <c r="Q7" s="242"/>
      <c r="R7" s="240" t="s">
        <v>135</v>
      </c>
      <c r="S7" s="241"/>
      <c r="T7" s="241"/>
      <c r="U7" s="241"/>
      <c r="V7" s="242"/>
      <c r="W7" s="240" t="s">
        <v>104</v>
      </c>
      <c r="X7" s="241"/>
      <c r="Y7" s="241"/>
      <c r="Z7" s="241"/>
      <c r="AA7" s="241"/>
      <c r="AB7" s="241"/>
      <c r="AC7" s="242"/>
      <c r="AD7" s="240" t="s">
        <v>99</v>
      </c>
      <c r="AE7" s="242"/>
      <c r="AG7" s="240" t="s">
        <v>107</v>
      </c>
      <c r="AH7" s="241"/>
      <c r="AI7" s="241"/>
      <c r="AJ7" s="241"/>
      <c r="AK7" s="242"/>
      <c r="AL7" s="240" t="s">
        <v>133</v>
      </c>
      <c r="AM7" s="242"/>
      <c r="AN7" s="240" t="s">
        <v>136</v>
      </c>
      <c r="AO7" s="242"/>
      <c r="AP7" s="240" t="s">
        <v>114</v>
      </c>
      <c r="AQ7" s="242"/>
    </row>
    <row r="8" spans="2:47">
      <c r="B8" s="68" t="s">
        <v>86</v>
      </c>
      <c r="C8" s="108" t="s">
        <v>38</v>
      </c>
      <c r="D8" s="109" t="s">
        <v>88</v>
      </c>
      <c r="F8" s="106" t="s">
        <v>54</v>
      </c>
      <c r="G8" s="91" t="s">
        <v>91</v>
      </c>
      <c r="H8" s="92" t="s">
        <v>54</v>
      </c>
      <c r="I8" s="92" t="s">
        <v>91</v>
      </c>
      <c r="J8" s="93" t="s">
        <v>92</v>
      </c>
      <c r="K8" s="198"/>
      <c r="L8" s="197" t="s">
        <v>92</v>
      </c>
      <c r="M8" s="106" t="s">
        <v>54</v>
      </c>
      <c r="N8" s="91" t="s">
        <v>91</v>
      </c>
      <c r="O8" s="91" t="s">
        <v>54</v>
      </c>
      <c r="P8" s="91" t="s">
        <v>91</v>
      </c>
      <c r="Q8" s="107" t="s">
        <v>92</v>
      </c>
      <c r="R8" s="106" t="s">
        <v>54</v>
      </c>
      <c r="S8" s="91" t="s">
        <v>91</v>
      </c>
      <c r="T8" s="91" t="s">
        <v>54</v>
      </c>
      <c r="U8" s="91" t="s">
        <v>91</v>
      </c>
      <c r="V8" s="107" t="s">
        <v>92</v>
      </c>
      <c r="W8" s="106" t="s">
        <v>90</v>
      </c>
      <c r="X8" s="91" t="s">
        <v>50</v>
      </c>
      <c r="Y8" s="91" t="s">
        <v>91</v>
      </c>
      <c r="Z8" s="91" t="s">
        <v>90</v>
      </c>
      <c r="AA8" s="91" t="s">
        <v>50</v>
      </c>
      <c r="AB8" s="91" t="s">
        <v>91</v>
      </c>
      <c r="AC8" s="107" t="s">
        <v>92</v>
      </c>
      <c r="AD8" s="250" t="s">
        <v>98</v>
      </c>
      <c r="AE8" s="251"/>
      <c r="AG8" s="106" t="s">
        <v>54</v>
      </c>
      <c r="AH8" s="91" t="s">
        <v>91</v>
      </c>
      <c r="AI8" s="92" t="s">
        <v>54</v>
      </c>
      <c r="AJ8" s="92" t="s">
        <v>91</v>
      </c>
      <c r="AK8" s="93" t="s">
        <v>92</v>
      </c>
      <c r="AL8" s="198"/>
      <c r="AM8" s="197" t="s">
        <v>92</v>
      </c>
      <c r="AN8" s="91" t="s">
        <v>91</v>
      </c>
      <c r="AO8" s="91" t="s">
        <v>92</v>
      </c>
      <c r="AP8" s="250" t="s">
        <v>98</v>
      </c>
      <c r="AQ8" s="251"/>
      <c r="AS8" s="243" t="s">
        <v>92</v>
      </c>
      <c r="AT8" s="243"/>
    </row>
    <row r="9" spans="2:47" s="74" customFormat="1">
      <c r="B9" s="71" t="s">
        <v>87</v>
      </c>
      <c r="C9" s="72" t="s">
        <v>53</v>
      </c>
      <c r="D9" s="73" t="s">
        <v>37</v>
      </c>
      <c r="E9" s="135" t="s">
        <v>89</v>
      </c>
      <c r="F9" s="73" t="s">
        <v>58</v>
      </c>
      <c r="G9" s="73" t="s">
        <v>12</v>
      </c>
      <c r="H9" s="77" t="s">
        <v>93</v>
      </c>
      <c r="I9" s="77" t="s">
        <v>93</v>
      </c>
      <c r="J9" s="77" t="s">
        <v>93</v>
      </c>
      <c r="K9" s="73" t="s">
        <v>12</v>
      </c>
      <c r="L9" s="77" t="s">
        <v>93</v>
      </c>
      <c r="M9" s="73" t="s">
        <v>58</v>
      </c>
      <c r="N9" s="73" t="s">
        <v>12</v>
      </c>
      <c r="O9" s="73" t="s">
        <v>93</v>
      </c>
      <c r="P9" s="73" t="s">
        <v>93</v>
      </c>
      <c r="Q9" s="73" t="s">
        <v>93</v>
      </c>
      <c r="R9" s="73" t="s">
        <v>58</v>
      </c>
      <c r="S9" s="73" t="s">
        <v>12</v>
      </c>
      <c r="T9" s="73" t="s">
        <v>93</v>
      </c>
      <c r="U9" s="73" t="s">
        <v>93</v>
      </c>
      <c r="V9" s="73" t="s">
        <v>93</v>
      </c>
      <c r="W9" s="73" t="s">
        <v>58</v>
      </c>
      <c r="X9" s="73" t="s">
        <v>97</v>
      </c>
      <c r="Y9" s="73" t="s">
        <v>12</v>
      </c>
      <c r="Z9" s="73" t="s">
        <v>93</v>
      </c>
      <c r="AA9" s="73" t="s">
        <v>93</v>
      </c>
      <c r="AB9" s="73" t="s">
        <v>93</v>
      </c>
      <c r="AC9" s="73" t="s">
        <v>93</v>
      </c>
      <c r="AD9" s="73" t="s">
        <v>93</v>
      </c>
      <c r="AE9" s="73" t="s">
        <v>12</v>
      </c>
      <c r="AG9" s="138" t="s">
        <v>58</v>
      </c>
      <c r="AH9" s="73" t="s">
        <v>113</v>
      </c>
      <c r="AI9" s="77" t="s">
        <v>93</v>
      </c>
      <c r="AJ9" s="77" t="s">
        <v>93</v>
      </c>
      <c r="AK9" s="139" t="s">
        <v>93</v>
      </c>
      <c r="AL9" s="73" t="s">
        <v>12</v>
      </c>
      <c r="AM9" s="77" t="s">
        <v>93</v>
      </c>
      <c r="AN9" s="73" t="s">
        <v>12</v>
      </c>
      <c r="AO9" s="73" t="s">
        <v>93</v>
      </c>
      <c r="AP9" s="73" t="s">
        <v>93</v>
      </c>
      <c r="AQ9" s="73" t="s">
        <v>12</v>
      </c>
      <c r="AS9" s="103" t="s">
        <v>103</v>
      </c>
      <c r="AT9" s="104" t="s">
        <v>53</v>
      </c>
      <c r="AU9" s="191" t="s">
        <v>126</v>
      </c>
    </row>
    <row r="10" spans="2:47">
      <c r="B10" s="105">
        <v>1000</v>
      </c>
      <c r="C10" s="112">
        <f>IF($C$5&lt;&gt;"Memoria CNMC",$C$5,IF(B10&gt;'Tipología Clientes'!$C$16,'Tipología Clientes'!$L$16,IF(B10&gt;'Tipología Clientes'!$C$15,'Tipología Clientes'!$L$15,IF(B10&gt;'Tipología Clientes'!$C$14,'Tipología Clientes'!$L$14,IF(B10&gt;'Tipología Clientes'!$C$13,'Tipología Clientes'!$L$13,IF(B10&gt;'Tipología Clientes'!$C$12,'Tipología Clientes'!$L$12,IF(B10&gt;'Tipología Clientes'!$C$11,'Tipología Clientes'!$L$11,IF(B10&gt;'Tipología Clientes'!$C$10,'Tipología Clientes'!$L$10,IF(B10&gt;'Tipología Clientes'!$C$9,'Tipología Clientes'!$L$9,IF(B10&gt;'Tipología Clientes'!$C$8,'Tipología Clientes'!$L$8,IF(B10&gt;'Tipología Clientes'!$C$7,'Tipología Clientes'!$L$7,'Tipología Clientes'!$L$6)))))))))))</f>
        <v>0.85</v>
      </c>
      <c r="D10" s="113">
        <f t="shared" ref="D10" si="0">B10/365/C10</f>
        <v>3.2232070910556003</v>
      </c>
      <c r="E10" s="76" t="str">
        <f>IF(B10&gt;'Peajes Circular CNMC'!$C$23,'Peajes Circular CNMC'!$B$23,IF(B10&gt;'Peajes Circular CNMC'!$C$22,'Peajes Circular CNMC'!$B$22,IF(B10&gt;'Peajes Circular CNMC'!$C$21,'Peajes Circular CNMC'!$B$21,IF(B10&gt;'Peajes Circular CNMC'!$C$20,'Peajes Circular CNMC'!$B$20,IF(B10&gt;'Peajes Circular CNMC'!$C$19,'Peajes Circular CNMC'!$B$19,IF(B10&gt;'Peajes Circular CNMC'!$C$18,'Peajes Circular CNMC'!$B$18,IF(B10&gt;'Peajes Circular CNMC'!$C$17,'Peajes Circular CNMC'!$B$17,IF(B10&gt;'Peajes Circular CNMC'!$C$16,'Peajes Circular CNMC'!$B$16,IF(B10&gt;'Peajes Circular CNMC'!$C$15,'Peajes Circular CNMC'!$B$15,IF(B10&gt;'Peajes Circular CNMC'!$C$14,'Peajes Circular CNMC'!$B$14,'Peajes Circular CNMC'!$B$13))))))))))</f>
        <v>D.5</v>
      </c>
      <c r="F10" s="96">
        <f>'Peajes Circular CNMC'!$H$30</f>
        <v>29.867609999999999</v>
      </c>
      <c r="G10" s="88">
        <f>'Peajes Circular CNMC'!$I$30</f>
        <v>0.15190999999999999</v>
      </c>
      <c r="H10" s="123">
        <f t="shared" ref="H10" si="1">12*F10*D10</f>
        <v>1155.2339081385978</v>
      </c>
      <c r="I10" s="123">
        <f t="shared" ref="I10" si="2">G10*B10</f>
        <v>151.91</v>
      </c>
      <c r="J10" s="122">
        <f t="shared" ref="J10" si="3">H10+I10</f>
        <v>1307.1439081385979</v>
      </c>
      <c r="K10" s="88">
        <f>'Peajes Circular CNMC'!$H$35</f>
        <v>0.26106499999999999</v>
      </c>
      <c r="L10" s="122">
        <f>B10*K10</f>
        <v>261.065</v>
      </c>
      <c r="M10" s="97">
        <f>'Peajes Circular CNMC'!$J$6</f>
        <v>20.326666666666664</v>
      </c>
      <c r="N10" s="97">
        <f>'Peajes Circular CNMC'!$J$7</f>
        <v>2.2599999999999999E-2</v>
      </c>
      <c r="O10" s="123">
        <f t="shared" ref="O10" si="4">M10*12*D10</f>
        <v>786.20467365028185</v>
      </c>
      <c r="P10" s="123">
        <f t="shared" ref="P10" si="5">N10*B10</f>
        <v>22.599999999999998</v>
      </c>
      <c r="Q10" s="122">
        <f t="shared" ref="Q10" si="6">O10+P10</f>
        <v>808.80467365028187</v>
      </c>
      <c r="R10" s="97">
        <f>'Peajes Circular CNMC'!$K$6</f>
        <v>12.351666666666667</v>
      </c>
      <c r="S10" s="97">
        <f>'Peajes Circular CNMC'!$K$7</f>
        <v>2.2599999999999999E-2</v>
      </c>
      <c r="T10" s="123">
        <f t="shared" ref="T10" si="7">R10*12*D10</f>
        <v>477.74375503626106</v>
      </c>
      <c r="U10" s="123">
        <f t="shared" ref="U10" si="8">S10*B10</f>
        <v>22.599999999999998</v>
      </c>
      <c r="V10" s="122">
        <f t="shared" ref="V10" si="9">T10+U10</f>
        <v>500.34375503626109</v>
      </c>
      <c r="W10" s="98">
        <f>VLOOKUP(E10,'Peajes Circular CNMC'!$B$13:$J$23,7,FALSE)</f>
        <v>0</v>
      </c>
      <c r="X10" s="87">
        <f>VLOOKUP(E10,'Peajes Circular CNMC'!$B$13:$J$23,8,FALSE)</f>
        <v>221.929</v>
      </c>
      <c r="Y10" s="87">
        <f>VLOOKUP(E10,'Peajes Circular CNMC'!$B$13:$J$23,9,FALSE)</f>
        <v>14.445</v>
      </c>
      <c r="Z10" s="123">
        <f t="shared" ref="Z10" si="10">12*W10*D10</f>
        <v>0</v>
      </c>
      <c r="AA10" s="123">
        <f t="shared" ref="AA10" si="11">12*X10</f>
        <v>2663.1480000000001</v>
      </c>
      <c r="AB10" s="123">
        <f t="shared" ref="AB10" si="12">Y10*B10</f>
        <v>14445</v>
      </c>
      <c r="AC10" s="122">
        <f t="shared" ref="AC10" si="13">Z10+AA10+AB10</f>
        <v>17108.148000000001</v>
      </c>
      <c r="AD10" s="124">
        <f>J10+L10+Q10+V10+AC10</f>
        <v>19985.505336825143</v>
      </c>
      <c r="AE10" s="79">
        <f t="shared" ref="AE10" si="14">AD10/B10</f>
        <v>19.985505336825142</v>
      </c>
      <c r="AG10" s="96">
        <f>'Peajes Circular CNMC'!$H$42</f>
        <v>26.201279999999997</v>
      </c>
      <c r="AH10" s="88">
        <f>'Peajes Circular CNMC'!$I$42</f>
        <v>0.11939999999999999</v>
      </c>
      <c r="AI10" s="123">
        <f t="shared" ref="AI10:AI25" si="15">12*AG10*D10</f>
        <v>1013.4258178887992</v>
      </c>
      <c r="AJ10" s="123">
        <f t="shared" ref="AJ10:AJ25" si="16">AH10*B10</f>
        <v>119.39999999999999</v>
      </c>
      <c r="AK10" s="122">
        <f t="shared" ref="AK10" si="17">AI10+AJ10</f>
        <v>1132.8258178887993</v>
      </c>
      <c r="AL10" s="88">
        <f>'Peajes Circular CNMC'!$H$35</f>
        <v>0.26106499999999999</v>
      </c>
      <c r="AM10" s="122">
        <f>B10*AL10</f>
        <v>261.065</v>
      </c>
      <c r="AN10" s="133">
        <f>'Peajes Actuales'!$U$30*$D$6*2</f>
        <v>1.5873015873015872</v>
      </c>
      <c r="AO10" s="122">
        <f t="shared" ref="AO10" si="18">AN10*B10</f>
        <v>1587.3015873015872</v>
      </c>
      <c r="AP10" s="124">
        <f>AK10+AM10+AO10</f>
        <v>2981.1924051903866</v>
      </c>
      <c r="AQ10" s="79">
        <f t="shared" ref="AQ10" si="19">AP10/B10</f>
        <v>2.9811924051903866</v>
      </c>
      <c r="AS10" s="125">
        <f t="shared" ref="AS10:AS25" si="20">AD10-AP10</f>
        <v>17004.312931634755</v>
      </c>
      <c r="AT10" s="100">
        <f t="shared" ref="AT10:AT25" si="21">AS10/AD10</f>
        <v>0.85083227294246766</v>
      </c>
      <c r="AU10" s="192">
        <f>AE10-AQ10</f>
        <v>17.004312931634754</v>
      </c>
    </row>
    <row r="11" spans="2:47">
      <c r="B11" s="105">
        <v>1500</v>
      </c>
      <c r="C11" s="112">
        <f>IF($C$5&lt;&gt;"Memoria CNMC",$C$5,IF(B11&gt;'Tipología Clientes'!$C$16,'Tipología Clientes'!$L$16,IF(B11&gt;'Tipología Clientes'!$C$15,'Tipología Clientes'!$L$15,IF(B11&gt;'Tipología Clientes'!$C$14,'Tipología Clientes'!$L$14,IF(B11&gt;'Tipología Clientes'!$C$13,'Tipología Clientes'!$L$13,IF(B11&gt;'Tipología Clientes'!$C$12,'Tipología Clientes'!$L$12,IF(B11&gt;'Tipología Clientes'!$C$11,'Tipología Clientes'!$L$11,IF(B11&gt;'Tipología Clientes'!$C$10,'Tipología Clientes'!$L$10,IF(B11&gt;'Tipología Clientes'!$C$9,'Tipología Clientes'!$L$9,IF(B11&gt;'Tipología Clientes'!$C$8,'Tipología Clientes'!$L$8,IF(B11&gt;'Tipología Clientes'!$C$7,'Tipología Clientes'!$L$7,'Tipología Clientes'!$L$6)))))))))))</f>
        <v>0.85</v>
      </c>
      <c r="D11" s="113">
        <f t="shared" ref="D11:D25" si="22">B11/365/C11</f>
        <v>4.8348106365834012</v>
      </c>
      <c r="E11" s="76" t="str">
        <f>IF(B11&gt;'Peajes Circular CNMC'!$C$23,'Peajes Circular CNMC'!$B$23,IF(B11&gt;'Peajes Circular CNMC'!$C$22,'Peajes Circular CNMC'!$B$22,IF(B11&gt;'Peajes Circular CNMC'!$C$21,'Peajes Circular CNMC'!$B$21,IF(B11&gt;'Peajes Circular CNMC'!$C$20,'Peajes Circular CNMC'!$B$20,IF(B11&gt;'Peajes Circular CNMC'!$C$19,'Peajes Circular CNMC'!$B$19,IF(B11&gt;'Peajes Circular CNMC'!$C$18,'Peajes Circular CNMC'!$B$18,IF(B11&gt;'Peajes Circular CNMC'!$C$17,'Peajes Circular CNMC'!$B$17,IF(B11&gt;'Peajes Circular CNMC'!$C$16,'Peajes Circular CNMC'!$B$16,IF(B11&gt;'Peajes Circular CNMC'!$C$15,'Peajes Circular CNMC'!$B$15,IF(B11&gt;'Peajes Circular CNMC'!$C$14,'Peajes Circular CNMC'!$B$14,'Peajes Circular CNMC'!$B$13))))))))))</f>
        <v>D.5</v>
      </c>
      <c r="F11" s="96">
        <f>'Peajes Circular CNMC'!$H$30</f>
        <v>29.867609999999999</v>
      </c>
      <c r="G11" s="88">
        <f>'Peajes Circular CNMC'!$I$30</f>
        <v>0.15190999999999999</v>
      </c>
      <c r="H11" s="123">
        <f t="shared" ref="H11:H25" si="23">12*F11*D11</f>
        <v>1732.8508622078971</v>
      </c>
      <c r="I11" s="123">
        <f t="shared" ref="I11:I25" si="24">G11*B11</f>
        <v>227.86499999999998</v>
      </c>
      <c r="J11" s="122">
        <f t="shared" ref="J11:J25" si="25">H11+I11</f>
        <v>1960.7158622078971</v>
      </c>
      <c r="K11" s="88">
        <f>'Peajes Circular CNMC'!$H$35</f>
        <v>0.26106499999999999</v>
      </c>
      <c r="L11" s="122">
        <f t="shared" ref="L11:L25" si="26">B11*K11</f>
        <v>391.59749999999997</v>
      </c>
      <c r="M11" s="97">
        <f>'Peajes Circular CNMC'!$J$6</f>
        <v>20.326666666666664</v>
      </c>
      <c r="N11" s="97">
        <f>'Peajes Circular CNMC'!$J$7</f>
        <v>2.2599999999999999E-2</v>
      </c>
      <c r="O11" s="123">
        <f t="shared" ref="O11:O25" si="27">M11*12*D11</f>
        <v>1179.3070104754231</v>
      </c>
      <c r="P11" s="123">
        <f t="shared" ref="P11:P25" si="28">N11*B11</f>
        <v>33.9</v>
      </c>
      <c r="Q11" s="122">
        <f t="shared" ref="Q11:Q25" si="29">O11+P11</f>
        <v>1213.2070104754232</v>
      </c>
      <c r="R11" s="97">
        <f>'Peajes Circular CNMC'!$K$6</f>
        <v>12.351666666666667</v>
      </c>
      <c r="S11" s="97">
        <f>'Peajes Circular CNMC'!$K$7</f>
        <v>2.2599999999999999E-2</v>
      </c>
      <c r="T11" s="123">
        <f t="shared" ref="T11:T25" si="30">R11*12*D11</f>
        <v>716.61563255439171</v>
      </c>
      <c r="U11" s="123">
        <f t="shared" ref="U11:U25" si="31">S11*B11</f>
        <v>33.9</v>
      </c>
      <c r="V11" s="122">
        <f t="shared" ref="V11:V25" si="32">T11+U11</f>
        <v>750.51563255439169</v>
      </c>
      <c r="W11" s="98">
        <f>VLOOKUP(E11,'Peajes Circular CNMC'!$B$13:$J$23,7,FALSE)</f>
        <v>0</v>
      </c>
      <c r="X11" s="87">
        <f>VLOOKUP(E11,'Peajes Circular CNMC'!$B$13:$J$23,8,FALSE)</f>
        <v>221.929</v>
      </c>
      <c r="Y11" s="87">
        <f>VLOOKUP(E11,'Peajes Circular CNMC'!$B$13:$J$23,9,FALSE)</f>
        <v>14.445</v>
      </c>
      <c r="Z11" s="123">
        <f t="shared" ref="Z11:Z25" si="33">12*W11*D11</f>
        <v>0</v>
      </c>
      <c r="AA11" s="123">
        <f t="shared" ref="AA11:AA25" si="34">12*X11</f>
        <v>2663.1480000000001</v>
      </c>
      <c r="AB11" s="123">
        <f t="shared" ref="AB11:AB25" si="35">Y11*B11</f>
        <v>21667.5</v>
      </c>
      <c r="AC11" s="122">
        <f t="shared" ref="AC11:AC25" si="36">Z11+AA11+AB11</f>
        <v>24330.648000000001</v>
      </c>
      <c r="AD11" s="124">
        <f t="shared" ref="AD11:AD25" si="37">J11+L11+Q11+V11+AC11</f>
        <v>28646.684005237716</v>
      </c>
      <c r="AE11" s="79">
        <f t="shared" ref="AE11:AE25" si="38">AD11/B11</f>
        <v>19.097789336825144</v>
      </c>
      <c r="AG11" s="96">
        <f>'Peajes Circular CNMC'!$H$42</f>
        <v>26.201279999999997</v>
      </c>
      <c r="AH11" s="88">
        <f>'Peajes Circular CNMC'!$I$42</f>
        <v>0.11939999999999999</v>
      </c>
      <c r="AI11" s="123">
        <f t="shared" si="15"/>
        <v>1520.1387268331991</v>
      </c>
      <c r="AJ11" s="123">
        <f t="shared" si="16"/>
        <v>179.1</v>
      </c>
      <c r="AK11" s="122">
        <f t="shared" ref="AK11:AK25" si="39">AI11+AJ11</f>
        <v>1699.2387268331991</v>
      </c>
      <c r="AL11" s="88">
        <f>'Peajes Circular CNMC'!$H$35</f>
        <v>0.26106499999999999</v>
      </c>
      <c r="AM11" s="122">
        <f t="shared" ref="AM11:AM25" si="40">B11*AL11</f>
        <v>391.59749999999997</v>
      </c>
      <c r="AN11" s="133">
        <f>'Peajes Actuales'!$U$30*$D$6*2</f>
        <v>1.5873015873015872</v>
      </c>
      <c r="AO11" s="122">
        <f t="shared" ref="AO11:AO25" si="41">AN11*B11</f>
        <v>2380.9523809523807</v>
      </c>
      <c r="AP11" s="124">
        <f t="shared" ref="AP11:AP25" si="42">AK11+AM11+AO11</f>
        <v>4471.7886077855801</v>
      </c>
      <c r="AQ11" s="79">
        <f t="shared" ref="AQ11:AQ25" si="43">AP11/B11</f>
        <v>2.9811924051903866</v>
      </c>
      <c r="AS11" s="125">
        <f t="shared" si="20"/>
        <v>24174.895397452136</v>
      </c>
      <c r="AT11" s="100">
        <f t="shared" si="21"/>
        <v>0.84389856058146329</v>
      </c>
      <c r="AU11" s="192">
        <f t="shared" ref="AU11:AU25" si="44">AE11-AQ11</f>
        <v>16.116596931634756</v>
      </c>
    </row>
    <row r="12" spans="2:47">
      <c r="B12" s="105">
        <v>2500</v>
      </c>
      <c r="C12" s="112">
        <f>IF($C$5&lt;&gt;"Memoria CNMC",$C$5,IF(B12&gt;'Tipología Clientes'!$C$16,'Tipología Clientes'!$L$16,IF(B12&gt;'Tipología Clientes'!$C$15,'Tipología Clientes'!$L$15,IF(B12&gt;'Tipología Clientes'!$C$14,'Tipología Clientes'!$L$14,IF(B12&gt;'Tipología Clientes'!$C$13,'Tipología Clientes'!$L$13,IF(B12&gt;'Tipología Clientes'!$C$12,'Tipología Clientes'!$L$12,IF(B12&gt;'Tipología Clientes'!$C$11,'Tipología Clientes'!$L$11,IF(B12&gt;'Tipología Clientes'!$C$10,'Tipología Clientes'!$L$10,IF(B12&gt;'Tipología Clientes'!$C$9,'Tipología Clientes'!$L$9,IF(B12&gt;'Tipología Clientes'!$C$8,'Tipología Clientes'!$L$8,IF(B12&gt;'Tipología Clientes'!$C$7,'Tipología Clientes'!$L$7,'Tipología Clientes'!$L$6)))))))))))</f>
        <v>0.85</v>
      </c>
      <c r="D12" s="113">
        <f t="shared" si="22"/>
        <v>8.058017727639001</v>
      </c>
      <c r="E12" s="76" t="str">
        <f>IF(B12&gt;'Peajes Circular CNMC'!$C$23,'Peajes Circular CNMC'!$B$23,IF(B12&gt;'Peajes Circular CNMC'!$C$22,'Peajes Circular CNMC'!$B$22,IF(B12&gt;'Peajes Circular CNMC'!$C$21,'Peajes Circular CNMC'!$B$21,IF(B12&gt;'Peajes Circular CNMC'!$C$20,'Peajes Circular CNMC'!$B$20,IF(B12&gt;'Peajes Circular CNMC'!$C$19,'Peajes Circular CNMC'!$B$19,IF(B12&gt;'Peajes Circular CNMC'!$C$18,'Peajes Circular CNMC'!$B$18,IF(B12&gt;'Peajes Circular CNMC'!$C$17,'Peajes Circular CNMC'!$B$17,IF(B12&gt;'Peajes Circular CNMC'!$C$16,'Peajes Circular CNMC'!$B$16,IF(B12&gt;'Peajes Circular CNMC'!$C$15,'Peajes Circular CNMC'!$B$15,IF(B12&gt;'Peajes Circular CNMC'!$C$14,'Peajes Circular CNMC'!$B$14,'Peajes Circular CNMC'!$B$13))))))))))</f>
        <v>D.6</v>
      </c>
      <c r="F12" s="96">
        <f>'Peajes Circular CNMC'!$H$30</f>
        <v>29.867609999999999</v>
      </c>
      <c r="G12" s="88">
        <f>'Peajes Circular CNMC'!$I$30</f>
        <v>0.15190999999999999</v>
      </c>
      <c r="H12" s="123">
        <f t="shared" si="23"/>
        <v>2888.0847703464947</v>
      </c>
      <c r="I12" s="123">
        <f t="shared" si="24"/>
        <v>379.77499999999998</v>
      </c>
      <c r="J12" s="122">
        <f t="shared" si="25"/>
        <v>3267.8597703464948</v>
      </c>
      <c r="K12" s="88">
        <f>'Peajes Circular CNMC'!$H$35</f>
        <v>0.26106499999999999</v>
      </c>
      <c r="L12" s="122">
        <f t="shared" si="26"/>
        <v>652.66250000000002</v>
      </c>
      <c r="M12" s="97">
        <f>'Peajes Circular CNMC'!$J$6</f>
        <v>20.326666666666664</v>
      </c>
      <c r="N12" s="97">
        <f>'Peajes Circular CNMC'!$J$7</f>
        <v>2.2599999999999999E-2</v>
      </c>
      <c r="O12" s="123">
        <f t="shared" si="27"/>
        <v>1965.5116841257047</v>
      </c>
      <c r="P12" s="123">
        <f t="shared" si="28"/>
        <v>56.499999999999993</v>
      </c>
      <c r="Q12" s="122">
        <f t="shared" si="29"/>
        <v>2022.0116841257047</v>
      </c>
      <c r="R12" s="97">
        <f>'Peajes Circular CNMC'!$K$6</f>
        <v>12.351666666666667</v>
      </c>
      <c r="S12" s="97">
        <f>'Peajes Circular CNMC'!$K$7</f>
        <v>2.2599999999999999E-2</v>
      </c>
      <c r="T12" s="123">
        <f t="shared" si="30"/>
        <v>1194.3593875906527</v>
      </c>
      <c r="U12" s="123">
        <f t="shared" si="31"/>
        <v>56.499999999999993</v>
      </c>
      <c r="V12" s="122">
        <f t="shared" si="32"/>
        <v>1250.8593875906527</v>
      </c>
      <c r="W12" s="98">
        <f>VLOOKUP(E12,'Peajes Circular CNMC'!$B$13:$J$23,7,FALSE)</f>
        <v>0</v>
      </c>
      <c r="X12" s="87">
        <f>VLOOKUP(E12,'Peajes Circular CNMC'!$B$13:$J$23,8,FALSE)</f>
        <v>1110.8520000000001</v>
      </c>
      <c r="Y12" s="87">
        <f>VLOOKUP(E12,'Peajes Circular CNMC'!$B$13:$J$23,9,FALSE)</f>
        <v>8.702</v>
      </c>
      <c r="Z12" s="123">
        <f t="shared" si="33"/>
        <v>0</v>
      </c>
      <c r="AA12" s="123">
        <f t="shared" si="34"/>
        <v>13330.224000000002</v>
      </c>
      <c r="AB12" s="123">
        <f t="shared" si="35"/>
        <v>21755</v>
      </c>
      <c r="AC12" s="122">
        <f t="shared" si="36"/>
        <v>35085.224000000002</v>
      </c>
      <c r="AD12" s="124">
        <f t="shared" si="37"/>
        <v>42278.617342062855</v>
      </c>
      <c r="AE12" s="79">
        <f t="shared" si="38"/>
        <v>16.911446936825143</v>
      </c>
      <c r="AG12" s="96">
        <f>'Peajes Circular CNMC'!$H$42</f>
        <v>26.201279999999997</v>
      </c>
      <c r="AH12" s="88">
        <f>'Peajes Circular CNMC'!$I$42</f>
        <v>0.11939999999999999</v>
      </c>
      <c r="AI12" s="123">
        <f t="shared" si="15"/>
        <v>2533.5645447219981</v>
      </c>
      <c r="AJ12" s="123">
        <f t="shared" si="16"/>
        <v>298.5</v>
      </c>
      <c r="AK12" s="122">
        <f t="shared" si="39"/>
        <v>2832.0645447219981</v>
      </c>
      <c r="AL12" s="88">
        <f>'Peajes Circular CNMC'!$H$35</f>
        <v>0.26106499999999999</v>
      </c>
      <c r="AM12" s="122">
        <f t="shared" si="40"/>
        <v>652.66250000000002</v>
      </c>
      <c r="AN12" s="133">
        <f>'Peajes Actuales'!$U$30*$D$6*2</f>
        <v>1.5873015873015872</v>
      </c>
      <c r="AO12" s="122">
        <f t="shared" si="41"/>
        <v>3968.2539682539682</v>
      </c>
      <c r="AP12" s="124">
        <f t="shared" si="42"/>
        <v>7452.9810129759662</v>
      </c>
      <c r="AQ12" s="79">
        <f t="shared" si="43"/>
        <v>2.9811924051903866</v>
      </c>
      <c r="AS12" s="125">
        <f t="shared" si="20"/>
        <v>34825.63632908689</v>
      </c>
      <c r="AT12" s="100">
        <f t="shared" si="21"/>
        <v>0.82371748459330485</v>
      </c>
      <c r="AU12" s="192">
        <f t="shared" si="44"/>
        <v>13.930254531634757</v>
      </c>
    </row>
    <row r="13" spans="2:47">
      <c r="B13" s="105">
        <v>3000</v>
      </c>
      <c r="C13" s="112">
        <f>IF($C$5&lt;&gt;"Memoria CNMC",$C$5,IF(B13&gt;'Tipología Clientes'!$C$16,'Tipología Clientes'!$L$16,IF(B13&gt;'Tipología Clientes'!$C$15,'Tipología Clientes'!$L$15,IF(B13&gt;'Tipología Clientes'!$C$14,'Tipología Clientes'!$L$14,IF(B13&gt;'Tipología Clientes'!$C$13,'Tipología Clientes'!$L$13,IF(B13&gt;'Tipología Clientes'!$C$12,'Tipología Clientes'!$L$12,IF(B13&gt;'Tipología Clientes'!$C$11,'Tipología Clientes'!$L$11,IF(B13&gt;'Tipología Clientes'!$C$10,'Tipología Clientes'!$L$10,IF(B13&gt;'Tipología Clientes'!$C$9,'Tipología Clientes'!$L$9,IF(B13&gt;'Tipología Clientes'!$C$8,'Tipología Clientes'!$L$8,IF(B13&gt;'Tipología Clientes'!$C$7,'Tipología Clientes'!$L$7,'Tipología Clientes'!$L$6)))))))))))</f>
        <v>0.85</v>
      </c>
      <c r="D13" s="113">
        <f t="shared" si="22"/>
        <v>9.6696212731668023</v>
      </c>
      <c r="E13" s="76" t="str">
        <f>IF(B13&gt;'Peajes Circular CNMC'!$C$23,'Peajes Circular CNMC'!$B$23,IF(B13&gt;'Peajes Circular CNMC'!$C$22,'Peajes Circular CNMC'!$B$22,IF(B13&gt;'Peajes Circular CNMC'!$C$21,'Peajes Circular CNMC'!$B$21,IF(B13&gt;'Peajes Circular CNMC'!$C$20,'Peajes Circular CNMC'!$B$20,IF(B13&gt;'Peajes Circular CNMC'!$C$19,'Peajes Circular CNMC'!$B$19,IF(B13&gt;'Peajes Circular CNMC'!$C$18,'Peajes Circular CNMC'!$B$18,IF(B13&gt;'Peajes Circular CNMC'!$C$17,'Peajes Circular CNMC'!$B$17,IF(B13&gt;'Peajes Circular CNMC'!$C$16,'Peajes Circular CNMC'!$B$16,IF(B13&gt;'Peajes Circular CNMC'!$C$15,'Peajes Circular CNMC'!$B$15,IF(B13&gt;'Peajes Circular CNMC'!$C$14,'Peajes Circular CNMC'!$B$14,'Peajes Circular CNMC'!$B$13))))))))))</f>
        <v>D.6</v>
      </c>
      <c r="F13" s="96">
        <f>'Peajes Circular CNMC'!$H$30</f>
        <v>29.867609999999999</v>
      </c>
      <c r="G13" s="88">
        <f>'Peajes Circular CNMC'!$I$30</f>
        <v>0.15190999999999999</v>
      </c>
      <c r="H13" s="123">
        <f t="shared" si="23"/>
        <v>3465.7017244157942</v>
      </c>
      <c r="I13" s="123">
        <f t="shared" si="24"/>
        <v>455.72999999999996</v>
      </c>
      <c r="J13" s="122">
        <f t="shared" si="25"/>
        <v>3921.4317244157942</v>
      </c>
      <c r="K13" s="88">
        <f>'Peajes Circular CNMC'!$H$35</f>
        <v>0.26106499999999999</v>
      </c>
      <c r="L13" s="122">
        <f t="shared" si="26"/>
        <v>783.19499999999994</v>
      </c>
      <c r="M13" s="97">
        <f>'Peajes Circular CNMC'!$J$6</f>
        <v>20.326666666666664</v>
      </c>
      <c r="N13" s="97">
        <f>'Peajes Circular CNMC'!$J$7</f>
        <v>2.2599999999999999E-2</v>
      </c>
      <c r="O13" s="123">
        <f t="shared" si="27"/>
        <v>2358.6140209508462</v>
      </c>
      <c r="P13" s="123">
        <f t="shared" si="28"/>
        <v>67.8</v>
      </c>
      <c r="Q13" s="122">
        <f t="shared" si="29"/>
        <v>2426.4140209508464</v>
      </c>
      <c r="R13" s="97">
        <f>'Peajes Circular CNMC'!$K$6</f>
        <v>12.351666666666667</v>
      </c>
      <c r="S13" s="97">
        <f>'Peajes Circular CNMC'!$K$7</f>
        <v>2.2599999999999999E-2</v>
      </c>
      <c r="T13" s="123">
        <f t="shared" si="30"/>
        <v>1433.2312651087834</v>
      </c>
      <c r="U13" s="123">
        <f t="shared" si="31"/>
        <v>67.8</v>
      </c>
      <c r="V13" s="122">
        <f t="shared" si="32"/>
        <v>1501.0312651087834</v>
      </c>
      <c r="W13" s="98">
        <f>VLOOKUP(E13,'Peajes Circular CNMC'!$B$13:$J$23,7,FALSE)</f>
        <v>0</v>
      </c>
      <c r="X13" s="87">
        <f>VLOOKUP(E13,'Peajes Circular CNMC'!$B$13:$J$23,8,FALSE)</f>
        <v>1110.8520000000001</v>
      </c>
      <c r="Y13" s="87">
        <f>VLOOKUP(E13,'Peajes Circular CNMC'!$B$13:$J$23,9,FALSE)</f>
        <v>8.702</v>
      </c>
      <c r="Z13" s="123">
        <f t="shared" si="33"/>
        <v>0</v>
      </c>
      <c r="AA13" s="123">
        <f t="shared" si="34"/>
        <v>13330.224000000002</v>
      </c>
      <c r="AB13" s="123">
        <f t="shared" si="35"/>
        <v>26106</v>
      </c>
      <c r="AC13" s="122">
        <f t="shared" si="36"/>
        <v>39436.224000000002</v>
      </c>
      <c r="AD13" s="124">
        <f t="shared" si="37"/>
        <v>48068.296010475431</v>
      </c>
      <c r="AE13" s="79">
        <f t="shared" si="38"/>
        <v>16.022765336825145</v>
      </c>
      <c r="AG13" s="96">
        <f>'Peajes Circular CNMC'!$H$42</f>
        <v>26.201279999999997</v>
      </c>
      <c r="AH13" s="88">
        <f>'Peajes Circular CNMC'!$I$42</f>
        <v>0.11939999999999999</v>
      </c>
      <c r="AI13" s="123">
        <f t="shared" si="15"/>
        <v>3040.2774536663983</v>
      </c>
      <c r="AJ13" s="123">
        <f t="shared" si="16"/>
        <v>358.2</v>
      </c>
      <c r="AK13" s="122">
        <f t="shared" si="39"/>
        <v>3398.4774536663981</v>
      </c>
      <c r="AL13" s="88">
        <f>'Peajes Circular CNMC'!$H$35</f>
        <v>0.26106499999999999</v>
      </c>
      <c r="AM13" s="122">
        <f t="shared" si="40"/>
        <v>783.19499999999994</v>
      </c>
      <c r="AN13" s="133">
        <f>'Peajes Actuales'!$U$30*$D$6*2</f>
        <v>1.5873015873015872</v>
      </c>
      <c r="AO13" s="122">
        <f t="shared" si="41"/>
        <v>4761.9047619047615</v>
      </c>
      <c r="AP13" s="124">
        <f t="shared" si="42"/>
        <v>8943.5772155711602</v>
      </c>
      <c r="AQ13" s="79">
        <f t="shared" si="43"/>
        <v>2.9811924051903866</v>
      </c>
      <c r="AS13" s="125">
        <f t="shared" si="20"/>
        <v>39124.718794904271</v>
      </c>
      <c r="AT13" s="100">
        <f t="shared" si="21"/>
        <v>0.81394020679197565</v>
      </c>
      <c r="AU13" s="192">
        <f t="shared" si="44"/>
        <v>13.041572931634759</v>
      </c>
    </row>
    <row r="14" spans="2:47">
      <c r="B14" s="105">
        <v>4000</v>
      </c>
      <c r="C14" s="112">
        <f>IF($C$5&lt;&gt;"Memoria CNMC",$C$5,IF(B14&gt;'Tipología Clientes'!$C$16,'Tipología Clientes'!$L$16,IF(B14&gt;'Tipología Clientes'!$C$15,'Tipología Clientes'!$L$15,IF(B14&gt;'Tipología Clientes'!$C$14,'Tipología Clientes'!$L$14,IF(B14&gt;'Tipología Clientes'!$C$13,'Tipología Clientes'!$L$13,IF(B14&gt;'Tipología Clientes'!$C$12,'Tipología Clientes'!$L$12,IF(B14&gt;'Tipología Clientes'!$C$11,'Tipología Clientes'!$L$11,IF(B14&gt;'Tipología Clientes'!$C$10,'Tipología Clientes'!$L$10,IF(B14&gt;'Tipología Clientes'!$C$9,'Tipología Clientes'!$L$9,IF(B14&gt;'Tipología Clientes'!$C$8,'Tipología Clientes'!$L$8,IF(B14&gt;'Tipología Clientes'!$C$7,'Tipología Clientes'!$L$7,'Tipología Clientes'!$L$6)))))))))))</f>
        <v>0.85</v>
      </c>
      <c r="D14" s="113">
        <f t="shared" si="22"/>
        <v>12.892828364222401</v>
      </c>
      <c r="E14" s="76" t="str">
        <f>IF(B14&gt;'Peajes Circular CNMC'!$C$23,'Peajes Circular CNMC'!$B$23,IF(B14&gt;'Peajes Circular CNMC'!$C$22,'Peajes Circular CNMC'!$B$22,IF(B14&gt;'Peajes Circular CNMC'!$C$21,'Peajes Circular CNMC'!$B$21,IF(B14&gt;'Peajes Circular CNMC'!$C$20,'Peajes Circular CNMC'!$B$20,IF(B14&gt;'Peajes Circular CNMC'!$C$19,'Peajes Circular CNMC'!$B$19,IF(B14&gt;'Peajes Circular CNMC'!$C$18,'Peajes Circular CNMC'!$B$18,IF(B14&gt;'Peajes Circular CNMC'!$C$17,'Peajes Circular CNMC'!$B$17,IF(B14&gt;'Peajes Circular CNMC'!$C$16,'Peajes Circular CNMC'!$B$16,IF(B14&gt;'Peajes Circular CNMC'!$C$15,'Peajes Circular CNMC'!$B$15,IF(B14&gt;'Peajes Circular CNMC'!$C$14,'Peajes Circular CNMC'!$B$14,'Peajes Circular CNMC'!$B$13))))))))))</f>
        <v>D.6</v>
      </c>
      <c r="F14" s="96">
        <f>'Peajes Circular CNMC'!$H$30</f>
        <v>29.867609999999999</v>
      </c>
      <c r="G14" s="88">
        <f>'Peajes Circular CNMC'!$I$30</f>
        <v>0.15190999999999999</v>
      </c>
      <c r="H14" s="123">
        <f t="shared" si="23"/>
        <v>4620.9356325543913</v>
      </c>
      <c r="I14" s="123">
        <f t="shared" si="24"/>
        <v>607.64</v>
      </c>
      <c r="J14" s="122">
        <f t="shared" si="25"/>
        <v>5228.5756325543916</v>
      </c>
      <c r="K14" s="88">
        <f>'Peajes Circular CNMC'!$H$35</f>
        <v>0.26106499999999999</v>
      </c>
      <c r="L14" s="122">
        <f t="shared" si="26"/>
        <v>1044.26</v>
      </c>
      <c r="M14" s="97">
        <f>'Peajes Circular CNMC'!$J$6</f>
        <v>20.326666666666664</v>
      </c>
      <c r="N14" s="97">
        <f>'Peajes Circular CNMC'!$J$7</f>
        <v>2.2599999999999999E-2</v>
      </c>
      <c r="O14" s="123">
        <f t="shared" si="27"/>
        <v>3144.8186946011274</v>
      </c>
      <c r="P14" s="123">
        <f t="shared" si="28"/>
        <v>90.399999999999991</v>
      </c>
      <c r="Q14" s="122">
        <f t="shared" si="29"/>
        <v>3235.2186946011275</v>
      </c>
      <c r="R14" s="97">
        <f>'Peajes Circular CNMC'!$K$6</f>
        <v>12.351666666666667</v>
      </c>
      <c r="S14" s="97">
        <f>'Peajes Circular CNMC'!$K$7</f>
        <v>2.2599999999999999E-2</v>
      </c>
      <c r="T14" s="123">
        <f t="shared" si="30"/>
        <v>1910.9750201450443</v>
      </c>
      <c r="U14" s="123">
        <f t="shared" si="31"/>
        <v>90.399999999999991</v>
      </c>
      <c r="V14" s="122">
        <f t="shared" si="32"/>
        <v>2001.3750201450443</v>
      </c>
      <c r="W14" s="98">
        <f>VLOOKUP(E14,'Peajes Circular CNMC'!$B$13:$J$23,7,FALSE)</f>
        <v>0</v>
      </c>
      <c r="X14" s="87">
        <f>VLOOKUP(E14,'Peajes Circular CNMC'!$B$13:$J$23,8,FALSE)</f>
        <v>1110.8520000000001</v>
      </c>
      <c r="Y14" s="87">
        <f>VLOOKUP(E14,'Peajes Circular CNMC'!$B$13:$J$23,9,FALSE)</f>
        <v>8.702</v>
      </c>
      <c r="Z14" s="123">
        <f t="shared" si="33"/>
        <v>0</v>
      </c>
      <c r="AA14" s="123">
        <f t="shared" si="34"/>
        <v>13330.224000000002</v>
      </c>
      <c r="AB14" s="123">
        <f t="shared" si="35"/>
        <v>34808</v>
      </c>
      <c r="AC14" s="122">
        <f t="shared" si="36"/>
        <v>48138.224000000002</v>
      </c>
      <c r="AD14" s="124">
        <f t="shared" si="37"/>
        <v>59647.653347300569</v>
      </c>
      <c r="AE14" s="79">
        <f t="shared" si="38"/>
        <v>14.911913336825142</v>
      </c>
      <c r="AG14" s="96">
        <f>'Peajes Circular CNMC'!$H$42</f>
        <v>26.201279999999997</v>
      </c>
      <c r="AH14" s="88">
        <f>'Peajes Circular CNMC'!$I$42</f>
        <v>0.11939999999999999</v>
      </c>
      <c r="AI14" s="123">
        <f t="shared" si="15"/>
        <v>4053.7032715551968</v>
      </c>
      <c r="AJ14" s="123">
        <f t="shared" si="16"/>
        <v>477.59999999999997</v>
      </c>
      <c r="AK14" s="122">
        <f t="shared" si="39"/>
        <v>4531.3032715551972</v>
      </c>
      <c r="AL14" s="88">
        <f>'Peajes Circular CNMC'!$H$35</f>
        <v>0.26106499999999999</v>
      </c>
      <c r="AM14" s="122">
        <f t="shared" si="40"/>
        <v>1044.26</v>
      </c>
      <c r="AN14" s="133">
        <f>'Peajes Actuales'!$U$30*$D$6*2</f>
        <v>1.5873015873015872</v>
      </c>
      <c r="AO14" s="122">
        <f t="shared" si="41"/>
        <v>6349.2063492063489</v>
      </c>
      <c r="AP14" s="124">
        <f t="shared" si="42"/>
        <v>11924.769620761546</v>
      </c>
      <c r="AQ14" s="79">
        <f t="shared" si="43"/>
        <v>2.9811924051903866</v>
      </c>
      <c r="AS14" s="125">
        <f t="shared" si="20"/>
        <v>47722.883726539025</v>
      </c>
      <c r="AT14" s="100">
        <f t="shared" si="21"/>
        <v>0.80007981954748242</v>
      </c>
      <c r="AU14" s="192">
        <f t="shared" si="44"/>
        <v>11.930720931634756</v>
      </c>
    </row>
    <row r="15" spans="2:47">
      <c r="B15" s="105">
        <v>5000</v>
      </c>
      <c r="C15" s="112">
        <f>IF($C$5&lt;&gt;"Memoria CNMC",$C$5,IF(B15&gt;'Tipología Clientes'!$C$16,'Tipología Clientes'!$L$16,IF(B15&gt;'Tipología Clientes'!$C$15,'Tipología Clientes'!$L$15,IF(B15&gt;'Tipología Clientes'!$C$14,'Tipología Clientes'!$L$14,IF(B15&gt;'Tipología Clientes'!$C$13,'Tipología Clientes'!$L$13,IF(B15&gt;'Tipología Clientes'!$C$12,'Tipología Clientes'!$L$12,IF(B15&gt;'Tipología Clientes'!$C$11,'Tipología Clientes'!$L$11,IF(B15&gt;'Tipología Clientes'!$C$10,'Tipología Clientes'!$L$10,IF(B15&gt;'Tipología Clientes'!$C$9,'Tipología Clientes'!$L$9,IF(B15&gt;'Tipología Clientes'!$C$8,'Tipología Clientes'!$L$8,IF(B15&gt;'Tipología Clientes'!$C$7,'Tipología Clientes'!$L$7,'Tipología Clientes'!$L$6)))))))))))</f>
        <v>0.85</v>
      </c>
      <c r="D15" s="113">
        <f t="shared" si="22"/>
        <v>16.116035455278002</v>
      </c>
      <c r="E15" s="76" t="str">
        <f>IF(B15&gt;'Peajes Circular CNMC'!$C$23,'Peajes Circular CNMC'!$B$23,IF(B15&gt;'Peajes Circular CNMC'!$C$22,'Peajes Circular CNMC'!$B$22,IF(B15&gt;'Peajes Circular CNMC'!$C$21,'Peajes Circular CNMC'!$B$21,IF(B15&gt;'Peajes Circular CNMC'!$C$20,'Peajes Circular CNMC'!$B$20,IF(B15&gt;'Peajes Circular CNMC'!$C$19,'Peajes Circular CNMC'!$B$19,IF(B15&gt;'Peajes Circular CNMC'!$C$18,'Peajes Circular CNMC'!$B$18,IF(B15&gt;'Peajes Circular CNMC'!$C$17,'Peajes Circular CNMC'!$B$17,IF(B15&gt;'Peajes Circular CNMC'!$C$16,'Peajes Circular CNMC'!$B$16,IF(B15&gt;'Peajes Circular CNMC'!$C$15,'Peajes Circular CNMC'!$B$15,IF(B15&gt;'Peajes Circular CNMC'!$C$14,'Peajes Circular CNMC'!$B$14,'Peajes Circular CNMC'!$B$13))))))))))</f>
        <v>D.6</v>
      </c>
      <c r="F15" s="96">
        <f>'Peajes Circular CNMC'!$H$30</f>
        <v>29.867609999999999</v>
      </c>
      <c r="G15" s="88">
        <f>'Peajes Circular CNMC'!$I$30</f>
        <v>0.15190999999999999</v>
      </c>
      <c r="H15" s="123">
        <f t="shared" si="23"/>
        <v>5776.1695406929894</v>
      </c>
      <c r="I15" s="123">
        <f t="shared" si="24"/>
        <v>759.55</v>
      </c>
      <c r="J15" s="122">
        <f t="shared" si="25"/>
        <v>6535.7195406929895</v>
      </c>
      <c r="K15" s="88">
        <f>'Peajes Circular CNMC'!$H$35</f>
        <v>0.26106499999999999</v>
      </c>
      <c r="L15" s="122">
        <f t="shared" si="26"/>
        <v>1305.325</v>
      </c>
      <c r="M15" s="97">
        <f>'Peajes Circular CNMC'!$J$6</f>
        <v>20.326666666666664</v>
      </c>
      <c r="N15" s="97">
        <f>'Peajes Circular CNMC'!$J$7</f>
        <v>2.2599999999999999E-2</v>
      </c>
      <c r="O15" s="123">
        <f t="shared" si="27"/>
        <v>3931.0233682514095</v>
      </c>
      <c r="P15" s="123">
        <f t="shared" si="28"/>
        <v>112.99999999999999</v>
      </c>
      <c r="Q15" s="122">
        <f t="shared" si="29"/>
        <v>4044.0233682514095</v>
      </c>
      <c r="R15" s="97">
        <f>'Peajes Circular CNMC'!$K$6</f>
        <v>12.351666666666667</v>
      </c>
      <c r="S15" s="97">
        <f>'Peajes Circular CNMC'!$K$7</f>
        <v>2.2599999999999999E-2</v>
      </c>
      <c r="T15" s="123">
        <f t="shared" si="30"/>
        <v>2388.7187751813053</v>
      </c>
      <c r="U15" s="123">
        <f t="shared" si="31"/>
        <v>112.99999999999999</v>
      </c>
      <c r="V15" s="122">
        <f t="shared" si="32"/>
        <v>2501.7187751813053</v>
      </c>
      <c r="W15" s="98">
        <f>VLOOKUP(E15,'Peajes Circular CNMC'!$B$13:$J$23,7,FALSE)</f>
        <v>0</v>
      </c>
      <c r="X15" s="87">
        <f>VLOOKUP(E15,'Peajes Circular CNMC'!$B$13:$J$23,8,FALSE)</f>
        <v>1110.8520000000001</v>
      </c>
      <c r="Y15" s="87">
        <f>VLOOKUP(E15,'Peajes Circular CNMC'!$B$13:$J$23,9,FALSE)</f>
        <v>8.702</v>
      </c>
      <c r="Z15" s="123">
        <f t="shared" si="33"/>
        <v>0</v>
      </c>
      <c r="AA15" s="123">
        <f t="shared" si="34"/>
        <v>13330.224000000002</v>
      </c>
      <c r="AB15" s="123">
        <f t="shared" si="35"/>
        <v>43510</v>
      </c>
      <c r="AC15" s="122">
        <f t="shared" si="36"/>
        <v>56840.224000000002</v>
      </c>
      <c r="AD15" s="124">
        <f t="shared" si="37"/>
        <v>71227.010684125707</v>
      </c>
      <c r="AE15" s="79">
        <f t="shared" si="38"/>
        <v>14.245402136825142</v>
      </c>
      <c r="AG15" s="96">
        <f>'Peajes Circular CNMC'!$H$42</f>
        <v>26.201279999999997</v>
      </c>
      <c r="AH15" s="88">
        <f>'Peajes Circular CNMC'!$I$42</f>
        <v>0.11939999999999999</v>
      </c>
      <c r="AI15" s="123">
        <f t="shared" si="15"/>
        <v>5067.1290894439962</v>
      </c>
      <c r="AJ15" s="123">
        <f t="shared" si="16"/>
        <v>597</v>
      </c>
      <c r="AK15" s="122">
        <f t="shared" si="39"/>
        <v>5664.1290894439962</v>
      </c>
      <c r="AL15" s="88">
        <f>'Peajes Circular CNMC'!$H$35</f>
        <v>0.26106499999999999</v>
      </c>
      <c r="AM15" s="122">
        <f t="shared" si="40"/>
        <v>1305.325</v>
      </c>
      <c r="AN15" s="133">
        <f>'Peajes Actuales'!$U$30*$D$6*2</f>
        <v>1.5873015873015872</v>
      </c>
      <c r="AO15" s="122">
        <f t="shared" si="41"/>
        <v>7936.5079365079364</v>
      </c>
      <c r="AP15" s="124">
        <f t="shared" si="42"/>
        <v>14905.962025951932</v>
      </c>
      <c r="AQ15" s="79">
        <f t="shared" si="43"/>
        <v>2.9811924051903866</v>
      </c>
      <c r="AS15" s="125">
        <f t="shared" si="20"/>
        <v>56321.048658173779</v>
      </c>
      <c r="AT15" s="100">
        <f t="shared" si="21"/>
        <v>0.79072599168795377</v>
      </c>
      <c r="AU15" s="192">
        <f t="shared" si="44"/>
        <v>11.264209731634756</v>
      </c>
    </row>
    <row r="16" spans="2:47">
      <c r="B16" s="105">
        <v>8000</v>
      </c>
      <c r="C16" s="112">
        <f>IF($C$5&lt;&gt;"Memoria CNMC",$C$5,IF(B16&gt;'Tipología Clientes'!$C$16,'Tipología Clientes'!$L$16,IF(B16&gt;'Tipología Clientes'!$C$15,'Tipología Clientes'!$L$15,IF(B16&gt;'Tipología Clientes'!$C$14,'Tipología Clientes'!$L$14,IF(B16&gt;'Tipología Clientes'!$C$13,'Tipología Clientes'!$L$13,IF(B16&gt;'Tipología Clientes'!$C$12,'Tipología Clientes'!$L$12,IF(B16&gt;'Tipología Clientes'!$C$11,'Tipología Clientes'!$L$11,IF(B16&gt;'Tipología Clientes'!$C$10,'Tipología Clientes'!$L$10,IF(B16&gt;'Tipología Clientes'!$C$9,'Tipología Clientes'!$L$9,IF(B16&gt;'Tipología Clientes'!$C$8,'Tipología Clientes'!$L$8,IF(B16&gt;'Tipología Clientes'!$C$7,'Tipología Clientes'!$L$7,'Tipología Clientes'!$L$6)))))))))))</f>
        <v>0.85</v>
      </c>
      <c r="D16" s="113">
        <f t="shared" si="22"/>
        <v>25.785656728444803</v>
      </c>
      <c r="E16" s="76" t="str">
        <f>IF(B16&gt;'Peajes Circular CNMC'!$C$23,'Peajes Circular CNMC'!$B$23,IF(B16&gt;'Peajes Circular CNMC'!$C$22,'Peajes Circular CNMC'!$B$22,IF(B16&gt;'Peajes Circular CNMC'!$C$21,'Peajes Circular CNMC'!$B$21,IF(B16&gt;'Peajes Circular CNMC'!$C$20,'Peajes Circular CNMC'!$B$20,IF(B16&gt;'Peajes Circular CNMC'!$C$19,'Peajes Circular CNMC'!$B$19,IF(B16&gt;'Peajes Circular CNMC'!$C$18,'Peajes Circular CNMC'!$B$18,IF(B16&gt;'Peajes Circular CNMC'!$C$17,'Peajes Circular CNMC'!$B$17,IF(B16&gt;'Peajes Circular CNMC'!$C$16,'Peajes Circular CNMC'!$B$16,IF(B16&gt;'Peajes Circular CNMC'!$C$15,'Peajes Circular CNMC'!$B$15,IF(B16&gt;'Peajes Circular CNMC'!$C$14,'Peajes Circular CNMC'!$B$14,'Peajes Circular CNMC'!$B$13))))))))))</f>
        <v>D.7</v>
      </c>
      <c r="F16" s="96">
        <f>'Peajes Circular CNMC'!$H$30</f>
        <v>29.867609999999999</v>
      </c>
      <c r="G16" s="88">
        <f>'Peajes Circular CNMC'!$I$30</f>
        <v>0.15190999999999999</v>
      </c>
      <c r="H16" s="123">
        <f t="shared" si="23"/>
        <v>9241.8712651087826</v>
      </c>
      <c r="I16" s="123">
        <f t="shared" si="24"/>
        <v>1215.28</v>
      </c>
      <c r="J16" s="122">
        <f t="shared" si="25"/>
        <v>10457.151265108783</v>
      </c>
      <c r="K16" s="88">
        <f>'Peajes Circular CNMC'!$H$35</f>
        <v>0.26106499999999999</v>
      </c>
      <c r="L16" s="122">
        <f t="shared" si="26"/>
        <v>2088.52</v>
      </c>
      <c r="M16" s="97">
        <f>'Peajes Circular CNMC'!$J$6</f>
        <v>20.326666666666664</v>
      </c>
      <c r="N16" s="97">
        <f>'Peajes Circular CNMC'!$J$7</f>
        <v>2.2599999999999999E-2</v>
      </c>
      <c r="O16" s="123">
        <f t="shared" si="27"/>
        <v>6289.6373892022548</v>
      </c>
      <c r="P16" s="123">
        <f t="shared" si="28"/>
        <v>180.79999999999998</v>
      </c>
      <c r="Q16" s="122">
        <f t="shared" si="29"/>
        <v>6470.437389202255</v>
      </c>
      <c r="R16" s="97">
        <f>'Peajes Circular CNMC'!$K$6</f>
        <v>12.351666666666667</v>
      </c>
      <c r="S16" s="97">
        <f>'Peajes Circular CNMC'!$K$7</f>
        <v>2.2599999999999999E-2</v>
      </c>
      <c r="T16" s="123">
        <f t="shared" si="30"/>
        <v>3821.9500402900885</v>
      </c>
      <c r="U16" s="123">
        <f t="shared" si="31"/>
        <v>180.79999999999998</v>
      </c>
      <c r="V16" s="122">
        <f t="shared" si="32"/>
        <v>4002.7500402900887</v>
      </c>
      <c r="W16" s="98">
        <f>VLOOKUP(E16,'Peajes Circular CNMC'!$B$13:$J$23,7,FALSE)</f>
        <v>86.737500000000011</v>
      </c>
      <c r="X16" s="87">
        <f>VLOOKUP(E16,'Peajes Circular CNMC'!$B$13:$J$23,8,FALSE)</f>
        <v>0</v>
      </c>
      <c r="Y16" s="87">
        <f>VLOOKUP(E16,'Peajes Circular CNMC'!$B$13:$J$23,9,FALSE)</f>
        <v>1.0900000000000001</v>
      </c>
      <c r="Z16" s="123">
        <f t="shared" si="33"/>
        <v>26839.000805801777</v>
      </c>
      <c r="AA16" s="123">
        <f t="shared" si="34"/>
        <v>0</v>
      </c>
      <c r="AB16" s="123">
        <f t="shared" si="35"/>
        <v>8720</v>
      </c>
      <c r="AC16" s="122">
        <f t="shared" si="36"/>
        <v>35559.000805801777</v>
      </c>
      <c r="AD16" s="124">
        <f t="shared" si="37"/>
        <v>58577.859500402905</v>
      </c>
      <c r="AE16" s="79">
        <f t="shared" si="38"/>
        <v>7.3222324375503627</v>
      </c>
      <c r="AG16" s="96">
        <f>'Peajes Circular CNMC'!$H$42</f>
        <v>26.201279999999997</v>
      </c>
      <c r="AH16" s="88">
        <f>'Peajes Circular CNMC'!$I$42</f>
        <v>0.11939999999999999</v>
      </c>
      <c r="AI16" s="123">
        <f t="shared" si="15"/>
        <v>8107.4065431103936</v>
      </c>
      <c r="AJ16" s="123">
        <f t="shared" si="16"/>
        <v>955.19999999999993</v>
      </c>
      <c r="AK16" s="122">
        <f t="shared" si="39"/>
        <v>9062.6065431103943</v>
      </c>
      <c r="AL16" s="88">
        <f>'Peajes Circular CNMC'!$H$35</f>
        <v>0.26106499999999999</v>
      </c>
      <c r="AM16" s="122">
        <f t="shared" si="40"/>
        <v>2088.52</v>
      </c>
      <c r="AN16" s="133">
        <f>'Peajes Actuales'!$U$30*$D$6*2</f>
        <v>1.5873015873015872</v>
      </c>
      <c r="AO16" s="122">
        <f t="shared" si="41"/>
        <v>12698.412698412698</v>
      </c>
      <c r="AP16" s="124">
        <f t="shared" si="42"/>
        <v>23849.539241523093</v>
      </c>
      <c r="AQ16" s="79">
        <f t="shared" si="43"/>
        <v>2.9811924051903866</v>
      </c>
      <c r="AS16" s="125">
        <f t="shared" si="20"/>
        <v>34728.320258879816</v>
      </c>
      <c r="AT16" s="100">
        <f t="shared" si="21"/>
        <v>0.59285744742245061</v>
      </c>
      <c r="AU16" s="192">
        <f t="shared" si="44"/>
        <v>4.3410400323599756</v>
      </c>
    </row>
    <row r="17" spans="2:47">
      <c r="B17" s="105">
        <v>10000</v>
      </c>
      <c r="C17" s="112">
        <f>IF($C$5&lt;&gt;"Memoria CNMC",$C$5,IF(B17&gt;'Tipología Clientes'!$C$16,'Tipología Clientes'!$L$16,IF(B17&gt;'Tipología Clientes'!$C$15,'Tipología Clientes'!$L$15,IF(B17&gt;'Tipología Clientes'!$C$14,'Tipología Clientes'!$L$14,IF(B17&gt;'Tipología Clientes'!$C$13,'Tipología Clientes'!$L$13,IF(B17&gt;'Tipología Clientes'!$C$12,'Tipología Clientes'!$L$12,IF(B17&gt;'Tipología Clientes'!$C$11,'Tipología Clientes'!$L$11,IF(B17&gt;'Tipología Clientes'!$C$10,'Tipología Clientes'!$L$10,IF(B17&gt;'Tipología Clientes'!$C$9,'Tipología Clientes'!$L$9,IF(B17&gt;'Tipología Clientes'!$C$8,'Tipología Clientes'!$L$8,IF(B17&gt;'Tipología Clientes'!$C$7,'Tipología Clientes'!$L$7,'Tipología Clientes'!$L$6)))))))))))</f>
        <v>0.85</v>
      </c>
      <c r="D17" s="113">
        <f t="shared" si="22"/>
        <v>32.232070910556004</v>
      </c>
      <c r="E17" s="76" t="str">
        <f>IF(B17&gt;'Peajes Circular CNMC'!$C$23,'Peajes Circular CNMC'!$B$23,IF(B17&gt;'Peajes Circular CNMC'!$C$22,'Peajes Circular CNMC'!$B$22,IF(B17&gt;'Peajes Circular CNMC'!$C$21,'Peajes Circular CNMC'!$B$21,IF(B17&gt;'Peajes Circular CNMC'!$C$20,'Peajes Circular CNMC'!$B$20,IF(B17&gt;'Peajes Circular CNMC'!$C$19,'Peajes Circular CNMC'!$B$19,IF(B17&gt;'Peajes Circular CNMC'!$C$18,'Peajes Circular CNMC'!$B$18,IF(B17&gt;'Peajes Circular CNMC'!$C$17,'Peajes Circular CNMC'!$B$17,IF(B17&gt;'Peajes Circular CNMC'!$C$16,'Peajes Circular CNMC'!$B$16,IF(B17&gt;'Peajes Circular CNMC'!$C$15,'Peajes Circular CNMC'!$B$15,IF(B17&gt;'Peajes Circular CNMC'!$C$14,'Peajes Circular CNMC'!$B$14,'Peajes Circular CNMC'!$B$13))))))))))</f>
        <v>D.7</v>
      </c>
      <c r="F17" s="96">
        <f>'Peajes Circular CNMC'!$H$30</f>
        <v>29.867609999999999</v>
      </c>
      <c r="G17" s="88">
        <f>'Peajes Circular CNMC'!$I$30</f>
        <v>0.15190999999999999</v>
      </c>
      <c r="H17" s="123">
        <f t="shared" si="23"/>
        <v>11552.339081385979</v>
      </c>
      <c r="I17" s="123">
        <f t="shared" si="24"/>
        <v>1519.1</v>
      </c>
      <c r="J17" s="122">
        <f t="shared" si="25"/>
        <v>13071.439081385979</v>
      </c>
      <c r="K17" s="88">
        <f>'Peajes Circular CNMC'!$H$35</f>
        <v>0.26106499999999999</v>
      </c>
      <c r="L17" s="122">
        <f t="shared" si="26"/>
        <v>2610.65</v>
      </c>
      <c r="M17" s="97">
        <f>'Peajes Circular CNMC'!$J$6</f>
        <v>20.326666666666664</v>
      </c>
      <c r="N17" s="97">
        <f>'Peajes Circular CNMC'!$J$7</f>
        <v>2.2599999999999999E-2</v>
      </c>
      <c r="O17" s="123">
        <f t="shared" si="27"/>
        <v>7862.0467365028189</v>
      </c>
      <c r="P17" s="123">
        <f t="shared" si="28"/>
        <v>225.99999999999997</v>
      </c>
      <c r="Q17" s="122">
        <f t="shared" si="29"/>
        <v>8088.0467365028189</v>
      </c>
      <c r="R17" s="97">
        <f>'Peajes Circular CNMC'!$K$6</f>
        <v>12.351666666666667</v>
      </c>
      <c r="S17" s="97">
        <f>'Peajes Circular CNMC'!$K$7</f>
        <v>2.2599999999999999E-2</v>
      </c>
      <c r="T17" s="123">
        <f t="shared" si="30"/>
        <v>4777.4375503626106</v>
      </c>
      <c r="U17" s="123">
        <f t="shared" si="31"/>
        <v>225.99999999999997</v>
      </c>
      <c r="V17" s="122">
        <f t="shared" si="32"/>
        <v>5003.4375503626106</v>
      </c>
      <c r="W17" s="98">
        <f>VLOOKUP(E17,'Peajes Circular CNMC'!$B$13:$J$23,7,FALSE)</f>
        <v>86.737500000000011</v>
      </c>
      <c r="X17" s="87">
        <f>VLOOKUP(E17,'Peajes Circular CNMC'!$B$13:$J$23,8,FALSE)</f>
        <v>0</v>
      </c>
      <c r="Y17" s="87">
        <f>VLOOKUP(E17,'Peajes Circular CNMC'!$B$13:$J$23,9,FALSE)</f>
        <v>1.0900000000000001</v>
      </c>
      <c r="Z17" s="123">
        <f t="shared" si="33"/>
        <v>33548.75100725222</v>
      </c>
      <c r="AA17" s="123">
        <f t="shared" si="34"/>
        <v>0</v>
      </c>
      <c r="AB17" s="123">
        <f t="shared" si="35"/>
        <v>10900</v>
      </c>
      <c r="AC17" s="122">
        <f t="shared" si="36"/>
        <v>44448.75100725222</v>
      </c>
      <c r="AD17" s="124">
        <f t="shared" si="37"/>
        <v>73222.324375503624</v>
      </c>
      <c r="AE17" s="79">
        <f t="shared" si="38"/>
        <v>7.3222324375503627</v>
      </c>
      <c r="AG17" s="96">
        <f>'Peajes Circular CNMC'!$H$42</f>
        <v>26.201279999999997</v>
      </c>
      <c r="AH17" s="88">
        <f>'Peajes Circular CNMC'!$I$42</f>
        <v>0.11939999999999999</v>
      </c>
      <c r="AI17" s="123">
        <f t="shared" si="15"/>
        <v>10134.258178887992</v>
      </c>
      <c r="AJ17" s="123">
        <f t="shared" si="16"/>
        <v>1194</v>
      </c>
      <c r="AK17" s="122">
        <f t="shared" si="39"/>
        <v>11328.258178887992</v>
      </c>
      <c r="AL17" s="88">
        <f>'Peajes Circular CNMC'!$H$35</f>
        <v>0.26106499999999999</v>
      </c>
      <c r="AM17" s="122">
        <f t="shared" si="40"/>
        <v>2610.65</v>
      </c>
      <c r="AN17" s="133">
        <f>'Peajes Actuales'!$U$30*$D$6*2</f>
        <v>1.5873015873015872</v>
      </c>
      <c r="AO17" s="122">
        <f t="shared" si="41"/>
        <v>15873.015873015873</v>
      </c>
      <c r="AP17" s="124">
        <f t="shared" si="42"/>
        <v>29811.924051903865</v>
      </c>
      <c r="AQ17" s="79">
        <f t="shared" si="43"/>
        <v>2.9811924051903866</v>
      </c>
      <c r="AS17" s="125">
        <f t="shared" si="20"/>
        <v>43410.400323599759</v>
      </c>
      <c r="AT17" s="100">
        <f t="shared" si="21"/>
        <v>0.5928574474224505</v>
      </c>
      <c r="AU17" s="192">
        <f t="shared" si="44"/>
        <v>4.3410400323599756</v>
      </c>
    </row>
    <row r="18" spans="2:47">
      <c r="B18" s="105">
        <v>15000</v>
      </c>
      <c r="C18" s="112">
        <f>IF($C$5&lt;&gt;"Memoria CNMC",$C$5,IF(B18&gt;'Tipología Clientes'!$C$16,'Tipología Clientes'!$L$16,IF(B18&gt;'Tipología Clientes'!$C$15,'Tipología Clientes'!$L$15,IF(B18&gt;'Tipología Clientes'!$C$14,'Tipología Clientes'!$L$14,IF(B18&gt;'Tipología Clientes'!$C$13,'Tipología Clientes'!$L$13,IF(B18&gt;'Tipología Clientes'!$C$12,'Tipología Clientes'!$L$12,IF(B18&gt;'Tipología Clientes'!$C$11,'Tipología Clientes'!$L$11,IF(B18&gt;'Tipología Clientes'!$C$10,'Tipología Clientes'!$L$10,IF(B18&gt;'Tipología Clientes'!$C$9,'Tipología Clientes'!$L$9,IF(B18&gt;'Tipología Clientes'!$C$8,'Tipología Clientes'!$L$8,IF(B18&gt;'Tipología Clientes'!$C$7,'Tipología Clientes'!$L$7,'Tipología Clientes'!$L$6)))))))))))</f>
        <v>0.85</v>
      </c>
      <c r="D18" s="113">
        <f t="shared" si="22"/>
        <v>48.348106365834006</v>
      </c>
      <c r="E18" s="76" t="str">
        <f>IF(B18&gt;'Peajes Circular CNMC'!$C$23,'Peajes Circular CNMC'!$B$23,IF(B18&gt;'Peajes Circular CNMC'!$C$22,'Peajes Circular CNMC'!$B$22,IF(B18&gt;'Peajes Circular CNMC'!$C$21,'Peajes Circular CNMC'!$B$21,IF(B18&gt;'Peajes Circular CNMC'!$C$20,'Peajes Circular CNMC'!$B$20,IF(B18&gt;'Peajes Circular CNMC'!$C$19,'Peajes Circular CNMC'!$B$19,IF(B18&gt;'Peajes Circular CNMC'!$C$18,'Peajes Circular CNMC'!$B$18,IF(B18&gt;'Peajes Circular CNMC'!$C$17,'Peajes Circular CNMC'!$B$17,IF(B18&gt;'Peajes Circular CNMC'!$C$16,'Peajes Circular CNMC'!$B$16,IF(B18&gt;'Peajes Circular CNMC'!$C$15,'Peajes Circular CNMC'!$B$15,IF(B18&gt;'Peajes Circular CNMC'!$C$14,'Peajes Circular CNMC'!$B$14,'Peajes Circular CNMC'!$B$13))))))))))</f>
        <v>D.7</v>
      </c>
      <c r="F18" s="96">
        <f>'Peajes Circular CNMC'!$H$30</f>
        <v>29.867609999999999</v>
      </c>
      <c r="G18" s="88">
        <f>'Peajes Circular CNMC'!$I$30</f>
        <v>0.15190999999999999</v>
      </c>
      <c r="H18" s="123">
        <f t="shared" si="23"/>
        <v>17328.508622078967</v>
      </c>
      <c r="I18" s="123">
        <f t="shared" si="24"/>
        <v>2278.6499999999996</v>
      </c>
      <c r="J18" s="122">
        <f t="shared" si="25"/>
        <v>19607.158622078969</v>
      </c>
      <c r="K18" s="88">
        <f>'Peajes Circular CNMC'!$H$35</f>
        <v>0.26106499999999999</v>
      </c>
      <c r="L18" s="122">
        <f t="shared" si="26"/>
        <v>3915.9749999999999</v>
      </c>
      <c r="M18" s="97">
        <f>'Peajes Circular CNMC'!$J$6</f>
        <v>20.326666666666664</v>
      </c>
      <c r="N18" s="97">
        <f>'Peajes Circular CNMC'!$J$7</f>
        <v>2.2599999999999999E-2</v>
      </c>
      <c r="O18" s="123">
        <f t="shared" si="27"/>
        <v>11793.070104754228</v>
      </c>
      <c r="P18" s="123">
        <f t="shared" si="28"/>
        <v>339</v>
      </c>
      <c r="Q18" s="122">
        <f t="shared" si="29"/>
        <v>12132.070104754228</v>
      </c>
      <c r="R18" s="97">
        <f>'Peajes Circular CNMC'!$K$6</f>
        <v>12.351666666666667</v>
      </c>
      <c r="S18" s="97">
        <f>'Peajes Circular CNMC'!$K$7</f>
        <v>2.2599999999999999E-2</v>
      </c>
      <c r="T18" s="123">
        <f t="shared" si="30"/>
        <v>7166.156325543916</v>
      </c>
      <c r="U18" s="123">
        <f t="shared" si="31"/>
        <v>339</v>
      </c>
      <c r="V18" s="122">
        <f t="shared" si="32"/>
        <v>7505.156325543916</v>
      </c>
      <c r="W18" s="98">
        <f>VLOOKUP(E18,'Peajes Circular CNMC'!$B$13:$J$23,7,FALSE)</f>
        <v>86.737500000000011</v>
      </c>
      <c r="X18" s="87">
        <f>VLOOKUP(E18,'Peajes Circular CNMC'!$B$13:$J$23,8,FALSE)</f>
        <v>0</v>
      </c>
      <c r="Y18" s="87">
        <f>VLOOKUP(E18,'Peajes Circular CNMC'!$B$13:$J$23,9,FALSE)</f>
        <v>1.0900000000000001</v>
      </c>
      <c r="Z18" s="123">
        <f t="shared" si="33"/>
        <v>50323.126510878334</v>
      </c>
      <c r="AA18" s="123">
        <f t="shared" si="34"/>
        <v>0</v>
      </c>
      <c r="AB18" s="123">
        <f t="shared" si="35"/>
        <v>16350.000000000002</v>
      </c>
      <c r="AC18" s="122">
        <f t="shared" si="36"/>
        <v>66673.126510878341</v>
      </c>
      <c r="AD18" s="124">
        <f t="shared" si="37"/>
        <v>109833.48656325546</v>
      </c>
      <c r="AE18" s="79">
        <f t="shared" si="38"/>
        <v>7.3222324375503636</v>
      </c>
      <c r="AG18" s="96">
        <f>'Peajes Circular CNMC'!$H$42</f>
        <v>26.201279999999997</v>
      </c>
      <c r="AH18" s="88">
        <f>'Peajes Circular CNMC'!$I$42</f>
        <v>0.11939999999999999</v>
      </c>
      <c r="AI18" s="123">
        <f t="shared" si="15"/>
        <v>15201.38726833199</v>
      </c>
      <c r="AJ18" s="123">
        <f t="shared" si="16"/>
        <v>1790.9999999999998</v>
      </c>
      <c r="AK18" s="122">
        <f t="shared" si="39"/>
        <v>16992.38726833199</v>
      </c>
      <c r="AL18" s="88">
        <f>'Peajes Circular CNMC'!$H$35</f>
        <v>0.26106499999999999</v>
      </c>
      <c r="AM18" s="122">
        <f t="shared" si="40"/>
        <v>3915.9749999999999</v>
      </c>
      <c r="AN18" s="133">
        <f>'Peajes Actuales'!$U$30*$D$6*2</f>
        <v>1.5873015873015872</v>
      </c>
      <c r="AO18" s="122">
        <f t="shared" si="41"/>
        <v>23809.523809523809</v>
      </c>
      <c r="AP18" s="124">
        <f t="shared" si="42"/>
        <v>44717.886077855801</v>
      </c>
      <c r="AQ18" s="79">
        <f t="shared" si="43"/>
        <v>2.9811924051903866</v>
      </c>
      <c r="AS18" s="125">
        <f t="shared" si="20"/>
        <v>65115.600485399656</v>
      </c>
      <c r="AT18" s="100">
        <f t="shared" si="21"/>
        <v>0.59285744742245061</v>
      </c>
      <c r="AU18" s="192">
        <f t="shared" si="44"/>
        <v>4.3410400323599774</v>
      </c>
    </row>
    <row r="19" spans="2:47">
      <c r="B19" s="105">
        <v>20000</v>
      </c>
      <c r="C19" s="112">
        <f>IF($C$5&lt;&gt;"Memoria CNMC",$C$5,IF(B19&gt;'Tipología Clientes'!$C$16,'Tipología Clientes'!$L$16,IF(B19&gt;'Tipología Clientes'!$C$15,'Tipología Clientes'!$L$15,IF(B19&gt;'Tipología Clientes'!$C$14,'Tipología Clientes'!$L$14,IF(B19&gt;'Tipología Clientes'!$C$13,'Tipología Clientes'!$L$13,IF(B19&gt;'Tipología Clientes'!$C$12,'Tipología Clientes'!$L$12,IF(B19&gt;'Tipología Clientes'!$C$11,'Tipología Clientes'!$L$11,IF(B19&gt;'Tipología Clientes'!$C$10,'Tipología Clientes'!$L$10,IF(B19&gt;'Tipología Clientes'!$C$9,'Tipología Clientes'!$L$9,IF(B19&gt;'Tipología Clientes'!$C$8,'Tipología Clientes'!$L$8,IF(B19&gt;'Tipología Clientes'!$C$7,'Tipología Clientes'!$L$7,'Tipología Clientes'!$L$6)))))))))))</f>
        <v>0.85</v>
      </c>
      <c r="D19" s="113">
        <f t="shared" si="22"/>
        <v>64.464141821112008</v>
      </c>
      <c r="E19" s="76" t="str">
        <f>IF(B19&gt;'Peajes Circular CNMC'!$C$23,'Peajes Circular CNMC'!$B$23,IF(B19&gt;'Peajes Circular CNMC'!$C$22,'Peajes Circular CNMC'!$B$22,IF(B19&gt;'Peajes Circular CNMC'!$C$21,'Peajes Circular CNMC'!$B$21,IF(B19&gt;'Peajes Circular CNMC'!$C$20,'Peajes Circular CNMC'!$B$20,IF(B19&gt;'Peajes Circular CNMC'!$C$19,'Peajes Circular CNMC'!$B$19,IF(B19&gt;'Peajes Circular CNMC'!$C$18,'Peajes Circular CNMC'!$B$18,IF(B19&gt;'Peajes Circular CNMC'!$C$17,'Peajes Circular CNMC'!$B$17,IF(B19&gt;'Peajes Circular CNMC'!$C$16,'Peajes Circular CNMC'!$B$16,IF(B19&gt;'Peajes Circular CNMC'!$C$15,'Peajes Circular CNMC'!$B$15,IF(B19&gt;'Peajes Circular CNMC'!$C$14,'Peajes Circular CNMC'!$B$14,'Peajes Circular CNMC'!$B$13))))))))))</f>
        <v>D.8</v>
      </c>
      <c r="F19" s="96">
        <f>'Peajes Circular CNMC'!$H$30</f>
        <v>29.867609999999999</v>
      </c>
      <c r="G19" s="88">
        <f>'Peajes Circular CNMC'!$I$30</f>
        <v>0.15190999999999999</v>
      </c>
      <c r="H19" s="123">
        <f t="shared" si="23"/>
        <v>23104.678162771957</v>
      </c>
      <c r="I19" s="123">
        <f t="shared" si="24"/>
        <v>3038.2</v>
      </c>
      <c r="J19" s="122">
        <f t="shared" si="25"/>
        <v>26142.878162771958</v>
      </c>
      <c r="K19" s="88">
        <f>'Peajes Circular CNMC'!$H$35</f>
        <v>0.26106499999999999</v>
      </c>
      <c r="L19" s="122">
        <f t="shared" si="26"/>
        <v>5221.3</v>
      </c>
      <c r="M19" s="97">
        <f>'Peajes Circular CNMC'!$J$6</f>
        <v>20.326666666666664</v>
      </c>
      <c r="N19" s="97">
        <f>'Peajes Circular CNMC'!$J$7</f>
        <v>2.2599999999999999E-2</v>
      </c>
      <c r="O19" s="123">
        <f t="shared" si="27"/>
        <v>15724.093473005638</v>
      </c>
      <c r="P19" s="123">
        <f t="shared" si="28"/>
        <v>451.99999999999994</v>
      </c>
      <c r="Q19" s="122">
        <f t="shared" si="29"/>
        <v>16176.093473005638</v>
      </c>
      <c r="R19" s="97">
        <f>'Peajes Circular CNMC'!$K$6</f>
        <v>12.351666666666667</v>
      </c>
      <c r="S19" s="97">
        <f>'Peajes Circular CNMC'!$K$7</f>
        <v>2.2599999999999999E-2</v>
      </c>
      <c r="T19" s="123">
        <f t="shared" si="30"/>
        <v>9554.8751007252213</v>
      </c>
      <c r="U19" s="123">
        <f t="shared" si="31"/>
        <v>451.99999999999994</v>
      </c>
      <c r="V19" s="122">
        <f t="shared" si="32"/>
        <v>10006.875100725221</v>
      </c>
      <c r="W19" s="98">
        <f>VLOOKUP(E19,'Peajes Circular CNMC'!$B$13:$J$23,7,FALSE)</f>
        <v>42.213333333333331</v>
      </c>
      <c r="X19" s="87">
        <f>VLOOKUP(E19,'Peajes Circular CNMC'!$B$13:$J$23,8,FALSE)</f>
        <v>0</v>
      </c>
      <c r="Y19" s="87">
        <f>VLOOKUP(E19,'Peajes Circular CNMC'!$B$13:$J$23,9,FALSE)</f>
        <v>0.70599999999999996</v>
      </c>
      <c r="Z19" s="123">
        <f t="shared" si="33"/>
        <v>32654.955680902494</v>
      </c>
      <c r="AA19" s="123">
        <f t="shared" si="34"/>
        <v>0</v>
      </c>
      <c r="AB19" s="123">
        <f t="shared" si="35"/>
        <v>14120</v>
      </c>
      <c r="AC19" s="122">
        <f t="shared" si="36"/>
        <v>46774.955680902494</v>
      </c>
      <c r="AD19" s="124">
        <f t="shared" si="37"/>
        <v>104322.10241740532</v>
      </c>
      <c r="AE19" s="79">
        <f t="shared" si="38"/>
        <v>5.2161051208702656</v>
      </c>
      <c r="AG19" s="96">
        <f>'Peajes Circular CNMC'!$H$42</f>
        <v>26.201279999999997</v>
      </c>
      <c r="AH19" s="88">
        <f>'Peajes Circular CNMC'!$I$42</f>
        <v>0.11939999999999999</v>
      </c>
      <c r="AI19" s="123">
        <f t="shared" si="15"/>
        <v>20268.516357775985</v>
      </c>
      <c r="AJ19" s="123">
        <f t="shared" si="16"/>
        <v>2388</v>
      </c>
      <c r="AK19" s="122">
        <f t="shared" si="39"/>
        <v>22656.516357775985</v>
      </c>
      <c r="AL19" s="88">
        <f>'Peajes Circular CNMC'!$H$35</f>
        <v>0.26106499999999999</v>
      </c>
      <c r="AM19" s="122">
        <f t="shared" si="40"/>
        <v>5221.3</v>
      </c>
      <c r="AN19" s="133">
        <f>'Peajes Actuales'!$U$30*$D$6*2</f>
        <v>1.5873015873015872</v>
      </c>
      <c r="AO19" s="122">
        <f t="shared" si="41"/>
        <v>31746.031746031746</v>
      </c>
      <c r="AP19" s="124">
        <f t="shared" si="42"/>
        <v>59623.84810380773</v>
      </c>
      <c r="AQ19" s="79">
        <f t="shared" si="43"/>
        <v>2.9811924051903866</v>
      </c>
      <c r="AS19" s="125">
        <f t="shared" si="20"/>
        <v>44698.254313597587</v>
      </c>
      <c r="AT19" s="100">
        <f t="shared" si="21"/>
        <v>0.42846389478189845</v>
      </c>
      <c r="AU19" s="192">
        <f t="shared" si="44"/>
        <v>2.2349127156798789</v>
      </c>
    </row>
    <row r="20" spans="2:47">
      <c r="B20" s="105">
        <v>25000</v>
      </c>
      <c r="C20" s="112">
        <f>IF($C$5&lt;&gt;"Memoria CNMC",$C$5,IF(B20&gt;'Tipología Clientes'!$C$16,'Tipología Clientes'!$L$16,IF(B20&gt;'Tipología Clientes'!$C$15,'Tipología Clientes'!$L$15,IF(B20&gt;'Tipología Clientes'!$C$14,'Tipología Clientes'!$L$14,IF(B20&gt;'Tipología Clientes'!$C$13,'Tipología Clientes'!$L$13,IF(B20&gt;'Tipología Clientes'!$C$12,'Tipología Clientes'!$L$12,IF(B20&gt;'Tipología Clientes'!$C$11,'Tipología Clientes'!$L$11,IF(B20&gt;'Tipología Clientes'!$C$10,'Tipología Clientes'!$L$10,IF(B20&gt;'Tipología Clientes'!$C$9,'Tipología Clientes'!$L$9,IF(B20&gt;'Tipología Clientes'!$C$8,'Tipología Clientes'!$L$8,IF(B20&gt;'Tipología Clientes'!$C$7,'Tipología Clientes'!$L$7,'Tipología Clientes'!$L$6)))))))))))</f>
        <v>0.85</v>
      </c>
      <c r="D20" s="113">
        <f t="shared" si="22"/>
        <v>80.580177276390017</v>
      </c>
      <c r="E20" s="76" t="str">
        <f>IF(B20&gt;'Peajes Circular CNMC'!$C$23,'Peajes Circular CNMC'!$B$23,IF(B20&gt;'Peajes Circular CNMC'!$C$22,'Peajes Circular CNMC'!$B$22,IF(B20&gt;'Peajes Circular CNMC'!$C$21,'Peajes Circular CNMC'!$B$21,IF(B20&gt;'Peajes Circular CNMC'!$C$20,'Peajes Circular CNMC'!$B$20,IF(B20&gt;'Peajes Circular CNMC'!$C$19,'Peajes Circular CNMC'!$B$19,IF(B20&gt;'Peajes Circular CNMC'!$C$18,'Peajes Circular CNMC'!$B$18,IF(B20&gt;'Peajes Circular CNMC'!$C$17,'Peajes Circular CNMC'!$B$17,IF(B20&gt;'Peajes Circular CNMC'!$C$16,'Peajes Circular CNMC'!$B$16,IF(B20&gt;'Peajes Circular CNMC'!$C$15,'Peajes Circular CNMC'!$B$15,IF(B20&gt;'Peajes Circular CNMC'!$C$14,'Peajes Circular CNMC'!$B$14,'Peajes Circular CNMC'!$B$13))))))))))</f>
        <v>D.8</v>
      </c>
      <c r="F20" s="96">
        <f>'Peajes Circular CNMC'!$H$30</f>
        <v>29.867609999999999</v>
      </c>
      <c r="G20" s="88">
        <f>'Peajes Circular CNMC'!$I$30</f>
        <v>0.15190999999999999</v>
      </c>
      <c r="H20" s="123">
        <f t="shared" si="23"/>
        <v>28880.847703464951</v>
      </c>
      <c r="I20" s="123">
        <f t="shared" si="24"/>
        <v>3797.7499999999995</v>
      </c>
      <c r="J20" s="122">
        <f t="shared" si="25"/>
        <v>32678.597703464951</v>
      </c>
      <c r="K20" s="88">
        <f>'Peajes Circular CNMC'!$H$35</f>
        <v>0.26106499999999999</v>
      </c>
      <c r="L20" s="122">
        <f t="shared" si="26"/>
        <v>6526.625</v>
      </c>
      <c r="M20" s="97">
        <f>'Peajes Circular CNMC'!$J$6</f>
        <v>20.326666666666664</v>
      </c>
      <c r="N20" s="97">
        <f>'Peajes Circular CNMC'!$J$7</f>
        <v>2.2599999999999999E-2</v>
      </c>
      <c r="O20" s="123">
        <f t="shared" si="27"/>
        <v>19655.116841257051</v>
      </c>
      <c r="P20" s="123">
        <f t="shared" si="28"/>
        <v>565</v>
      </c>
      <c r="Q20" s="122">
        <f t="shared" si="29"/>
        <v>20220.116841257051</v>
      </c>
      <c r="R20" s="97">
        <f>'Peajes Circular CNMC'!$K$6</f>
        <v>12.351666666666667</v>
      </c>
      <c r="S20" s="97">
        <f>'Peajes Circular CNMC'!$K$7</f>
        <v>2.2599999999999999E-2</v>
      </c>
      <c r="T20" s="123">
        <f t="shared" si="30"/>
        <v>11943.593875906528</v>
      </c>
      <c r="U20" s="123">
        <f t="shared" si="31"/>
        <v>565</v>
      </c>
      <c r="V20" s="122">
        <f t="shared" si="32"/>
        <v>12508.593875906528</v>
      </c>
      <c r="W20" s="98">
        <f>VLOOKUP(E20,'Peajes Circular CNMC'!$B$13:$J$23,7,FALSE)</f>
        <v>42.213333333333331</v>
      </c>
      <c r="X20" s="87">
        <f>VLOOKUP(E20,'Peajes Circular CNMC'!$B$13:$J$23,8,FALSE)</f>
        <v>0</v>
      </c>
      <c r="Y20" s="87">
        <f>VLOOKUP(E20,'Peajes Circular CNMC'!$B$13:$J$23,9,FALSE)</f>
        <v>0.70599999999999996</v>
      </c>
      <c r="Z20" s="123">
        <f t="shared" si="33"/>
        <v>40818.694601128125</v>
      </c>
      <c r="AA20" s="123">
        <f t="shared" si="34"/>
        <v>0</v>
      </c>
      <c r="AB20" s="123">
        <f t="shared" si="35"/>
        <v>17650</v>
      </c>
      <c r="AC20" s="122">
        <f t="shared" si="36"/>
        <v>58468.694601128125</v>
      </c>
      <c r="AD20" s="124">
        <f t="shared" si="37"/>
        <v>130402.62802175667</v>
      </c>
      <c r="AE20" s="79">
        <f t="shared" si="38"/>
        <v>5.2161051208702665</v>
      </c>
      <c r="AG20" s="96">
        <f>'Peajes Circular CNMC'!$H$42</f>
        <v>26.201279999999997</v>
      </c>
      <c r="AH20" s="88">
        <f>'Peajes Circular CNMC'!$I$42</f>
        <v>0.11939999999999999</v>
      </c>
      <c r="AI20" s="123">
        <f t="shared" si="15"/>
        <v>25335.645447219984</v>
      </c>
      <c r="AJ20" s="123">
        <f t="shared" si="16"/>
        <v>2985</v>
      </c>
      <c r="AK20" s="122">
        <f t="shared" si="39"/>
        <v>28320.645447219984</v>
      </c>
      <c r="AL20" s="88">
        <f>'Peajes Circular CNMC'!$H$35</f>
        <v>0.26106499999999999</v>
      </c>
      <c r="AM20" s="122">
        <f t="shared" si="40"/>
        <v>6526.625</v>
      </c>
      <c r="AN20" s="133">
        <f>'Peajes Actuales'!$U$30*$D$6*2</f>
        <v>1.5873015873015872</v>
      </c>
      <c r="AO20" s="122">
        <f t="shared" si="41"/>
        <v>39682.539682539682</v>
      </c>
      <c r="AP20" s="124">
        <f t="shared" si="42"/>
        <v>74529.810129759659</v>
      </c>
      <c r="AQ20" s="79">
        <f t="shared" si="43"/>
        <v>2.9811924051903862</v>
      </c>
      <c r="AS20" s="125">
        <f t="shared" si="20"/>
        <v>55872.817891997009</v>
      </c>
      <c r="AT20" s="100">
        <f t="shared" si="21"/>
        <v>0.42846389478189856</v>
      </c>
      <c r="AU20" s="192">
        <f t="shared" si="44"/>
        <v>2.2349127156798803</v>
      </c>
    </row>
    <row r="21" spans="2:47">
      <c r="B21" s="105">
        <v>30000</v>
      </c>
      <c r="C21" s="112">
        <f>IF($C$5&lt;&gt;"Memoria CNMC",$C$5,IF(B21&gt;'Tipología Clientes'!$C$16,'Tipología Clientes'!$L$16,IF(B21&gt;'Tipología Clientes'!$C$15,'Tipología Clientes'!$L$15,IF(B21&gt;'Tipología Clientes'!$C$14,'Tipología Clientes'!$L$14,IF(B21&gt;'Tipología Clientes'!$C$13,'Tipología Clientes'!$L$13,IF(B21&gt;'Tipología Clientes'!$C$12,'Tipología Clientes'!$L$12,IF(B21&gt;'Tipología Clientes'!$C$11,'Tipología Clientes'!$L$11,IF(B21&gt;'Tipología Clientes'!$C$10,'Tipología Clientes'!$L$10,IF(B21&gt;'Tipología Clientes'!$C$9,'Tipología Clientes'!$L$9,IF(B21&gt;'Tipología Clientes'!$C$8,'Tipología Clientes'!$L$8,IF(B21&gt;'Tipología Clientes'!$C$7,'Tipología Clientes'!$L$7,'Tipología Clientes'!$L$6)))))))))))</f>
        <v>0.85</v>
      </c>
      <c r="D21" s="113">
        <f t="shared" si="22"/>
        <v>96.696212731668012</v>
      </c>
      <c r="E21" s="76" t="str">
        <f>IF(B21&gt;'Peajes Circular CNMC'!$C$23,'Peajes Circular CNMC'!$B$23,IF(B21&gt;'Peajes Circular CNMC'!$C$22,'Peajes Circular CNMC'!$B$22,IF(B21&gt;'Peajes Circular CNMC'!$C$21,'Peajes Circular CNMC'!$B$21,IF(B21&gt;'Peajes Circular CNMC'!$C$20,'Peajes Circular CNMC'!$B$20,IF(B21&gt;'Peajes Circular CNMC'!$C$19,'Peajes Circular CNMC'!$B$19,IF(B21&gt;'Peajes Circular CNMC'!$C$18,'Peajes Circular CNMC'!$B$18,IF(B21&gt;'Peajes Circular CNMC'!$C$17,'Peajes Circular CNMC'!$B$17,IF(B21&gt;'Peajes Circular CNMC'!$C$16,'Peajes Circular CNMC'!$B$16,IF(B21&gt;'Peajes Circular CNMC'!$C$15,'Peajes Circular CNMC'!$B$15,IF(B21&gt;'Peajes Circular CNMC'!$C$14,'Peajes Circular CNMC'!$B$14,'Peajes Circular CNMC'!$B$13))))))))))</f>
        <v>D.8</v>
      </c>
      <c r="F21" s="96">
        <f>'Peajes Circular CNMC'!$H$30</f>
        <v>29.867609999999999</v>
      </c>
      <c r="G21" s="88">
        <f>'Peajes Circular CNMC'!$I$30</f>
        <v>0.15190999999999999</v>
      </c>
      <c r="H21" s="123">
        <f t="shared" si="23"/>
        <v>34657.017244157934</v>
      </c>
      <c r="I21" s="123">
        <f t="shared" si="24"/>
        <v>4557.2999999999993</v>
      </c>
      <c r="J21" s="122">
        <f t="shared" si="25"/>
        <v>39214.317244157937</v>
      </c>
      <c r="K21" s="88">
        <f>'Peajes Circular CNMC'!$H$35</f>
        <v>0.26106499999999999</v>
      </c>
      <c r="L21" s="122">
        <f t="shared" si="26"/>
        <v>7831.95</v>
      </c>
      <c r="M21" s="97">
        <f>'Peajes Circular CNMC'!$J$6</f>
        <v>20.326666666666664</v>
      </c>
      <c r="N21" s="97">
        <f>'Peajes Circular CNMC'!$J$7</f>
        <v>2.2599999999999999E-2</v>
      </c>
      <c r="O21" s="123">
        <f t="shared" si="27"/>
        <v>23586.140209508456</v>
      </c>
      <c r="P21" s="123">
        <f t="shared" si="28"/>
        <v>678</v>
      </c>
      <c r="Q21" s="122">
        <f t="shared" si="29"/>
        <v>24264.140209508456</v>
      </c>
      <c r="R21" s="97">
        <f>'Peajes Circular CNMC'!$K$6</f>
        <v>12.351666666666667</v>
      </c>
      <c r="S21" s="97">
        <f>'Peajes Circular CNMC'!$K$7</f>
        <v>2.2599999999999999E-2</v>
      </c>
      <c r="T21" s="123">
        <f t="shared" si="30"/>
        <v>14332.312651087832</v>
      </c>
      <c r="U21" s="123">
        <f t="shared" si="31"/>
        <v>678</v>
      </c>
      <c r="V21" s="122">
        <f t="shared" si="32"/>
        <v>15010.312651087832</v>
      </c>
      <c r="W21" s="98">
        <f>VLOOKUP(E21,'Peajes Circular CNMC'!$B$13:$J$23,7,FALSE)</f>
        <v>42.213333333333331</v>
      </c>
      <c r="X21" s="87">
        <f>VLOOKUP(E21,'Peajes Circular CNMC'!$B$13:$J$23,8,FALSE)</f>
        <v>0</v>
      </c>
      <c r="Y21" s="87">
        <f>VLOOKUP(E21,'Peajes Circular CNMC'!$B$13:$J$23,9,FALSE)</f>
        <v>0.70599999999999996</v>
      </c>
      <c r="Z21" s="123">
        <f t="shared" si="33"/>
        <v>48982.433521353742</v>
      </c>
      <c r="AA21" s="123">
        <f t="shared" si="34"/>
        <v>0</v>
      </c>
      <c r="AB21" s="123">
        <f t="shared" si="35"/>
        <v>21180</v>
      </c>
      <c r="AC21" s="122">
        <f t="shared" si="36"/>
        <v>70162.433521353742</v>
      </c>
      <c r="AD21" s="124">
        <f t="shared" si="37"/>
        <v>156483.15362610796</v>
      </c>
      <c r="AE21" s="79">
        <f t="shared" si="38"/>
        <v>5.2161051208702656</v>
      </c>
      <c r="AG21" s="96">
        <f>'Peajes Circular CNMC'!$H$42</f>
        <v>26.201279999999997</v>
      </c>
      <c r="AH21" s="88">
        <f>'Peajes Circular CNMC'!$I$42</f>
        <v>0.11939999999999999</v>
      </c>
      <c r="AI21" s="123">
        <f t="shared" si="15"/>
        <v>30402.774536663979</v>
      </c>
      <c r="AJ21" s="123">
        <f t="shared" si="16"/>
        <v>3581.9999999999995</v>
      </c>
      <c r="AK21" s="122">
        <f t="shared" si="39"/>
        <v>33984.774536663979</v>
      </c>
      <c r="AL21" s="88">
        <f>'Peajes Circular CNMC'!$H$35</f>
        <v>0.26106499999999999</v>
      </c>
      <c r="AM21" s="122">
        <f t="shared" si="40"/>
        <v>7831.95</v>
      </c>
      <c r="AN21" s="133">
        <f>'Peajes Actuales'!$U$30*$D$6*2</f>
        <v>1.5873015873015872</v>
      </c>
      <c r="AO21" s="122">
        <f t="shared" si="41"/>
        <v>47619.047619047618</v>
      </c>
      <c r="AP21" s="124">
        <f t="shared" si="42"/>
        <v>89435.772155711602</v>
      </c>
      <c r="AQ21" s="79">
        <f t="shared" si="43"/>
        <v>2.9811924051903866</v>
      </c>
      <c r="AS21" s="125">
        <f t="shared" si="20"/>
        <v>67047.381470396358</v>
      </c>
      <c r="AT21" s="100">
        <f t="shared" si="21"/>
        <v>0.42846389478189834</v>
      </c>
      <c r="AU21" s="192">
        <f t="shared" si="44"/>
        <v>2.2349127156798789</v>
      </c>
    </row>
    <row r="22" spans="2:47">
      <c r="B22" s="105">
        <v>35000</v>
      </c>
      <c r="C22" s="112">
        <f>IF($C$5&lt;&gt;"Memoria CNMC",$C$5,IF(B22&gt;'Tipología Clientes'!$C$16,'Tipología Clientes'!$L$16,IF(B22&gt;'Tipología Clientes'!$C$15,'Tipología Clientes'!$L$15,IF(B22&gt;'Tipología Clientes'!$C$14,'Tipología Clientes'!$L$14,IF(B22&gt;'Tipología Clientes'!$C$13,'Tipología Clientes'!$L$13,IF(B22&gt;'Tipología Clientes'!$C$12,'Tipología Clientes'!$L$12,IF(B22&gt;'Tipología Clientes'!$C$11,'Tipología Clientes'!$L$11,IF(B22&gt;'Tipología Clientes'!$C$10,'Tipología Clientes'!$L$10,IF(B22&gt;'Tipología Clientes'!$C$9,'Tipología Clientes'!$L$9,IF(B22&gt;'Tipología Clientes'!$C$8,'Tipología Clientes'!$L$8,IF(B22&gt;'Tipología Clientes'!$C$7,'Tipología Clientes'!$L$7,'Tipología Clientes'!$L$6)))))))))))</f>
        <v>0.85</v>
      </c>
      <c r="D22" s="113">
        <f t="shared" si="22"/>
        <v>112.81224818694602</v>
      </c>
      <c r="E22" s="76" t="str">
        <f>IF(B22&gt;'Peajes Circular CNMC'!$C$23,'Peajes Circular CNMC'!$B$23,IF(B22&gt;'Peajes Circular CNMC'!$C$22,'Peajes Circular CNMC'!$B$22,IF(B22&gt;'Peajes Circular CNMC'!$C$21,'Peajes Circular CNMC'!$B$21,IF(B22&gt;'Peajes Circular CNMC'!$C$20,'Peajes Circular CNMC'!$B$20,IF(B22&gt;'Peajes Circular CNMC'!$C$19,'Peajes Circular CNMC'!$B$19,IF(B22&gt;'Peajes Circular CNMC'!$C$18,'Peajes Circular CNMC'!$B$18,IF(B22&gt;'Peajes Circular CNMC'!$C$17,'Peajes Circular CNMC'!$B$17,IF(B22&gt;'Peajes Circular CNMC'!$C$16,'Peajes Circular CNMC'!$B$16,IF(B22&gt;'Peajes Circular CNMC'!$C$15,'Peajes Circular CNMC'!$B$15,IF(B22&gt;'Peajes Circular CNMC'!$C$14,'Peajes Circular CNMC'!$B$14,'Peajes Circular CNMC'!$B$13))))))))))</f>
        <v>D.8</v>
      </c>
      <c r="F22" s="96">
        <f>'Peajes Circular CNMC'!$H$30</f>
        <v>29.867609999999999</v>
      </c>
      <c r="G22" s="88">
        <f>'Peajes Circular CNMC'!$I$30</f>
        <v>0.15190999999999999</v>
      </c>
      <c r="H22" s="123">
        <f t="shared" si="23"/>
        <v>40433.186784850928</v>
      </c>
      <c r="I22" s="123">
        <f t="shared" si="24"/>
        <v>5316.8499999999995</v>
      </c>
      <c r="J22" s="122">
        <f t="shared" si="25"/>
        <v>45750.036784850927</v>
      </c>
      <c r="K22" s="88">
        <f>'Peajes Circular CNMC'!$H$35</f>
        <v>0.26106499999999999</v>
      </c>
      <c r="L22" s="122">
        <f t="shared" si="26"/>
        <v>9137.2749999999996</v>
      </c>
      <c r="M22" s="97">
        <f>'Peajes Circular CNMC'!$J$6</f>
        <v>20.326666666666664</v>
      </c>
      <c r="N22" s="97">
        <f>'Peajes Circular CNMC'!$J$7</f>
        <v>2.2599999999999999E-2</v>
      </c>
      <c r="O22" s="123">
        <f t="shared" si="27"/>
        <v>27517.163577759868</v>
      </c>
      <c r="P22" s="123">
        <f t="shared" si="28"/>
        <v>791</v>
      </c>
      <c r="Q22" s="122">
        <f t="shared" si="29"/>
        <v>28308.163577759868</v>
      </c>
      <c r="R22" s="97">
        <f>'Peajes Circular CNMC'!$K$6</f>
        <v>12.351666666666667</v>
      </c>
      <c r="S22" s="97">
        <f>'Peajes Circular CNMC'!$K$7</f>
        <v>2.2599999999999999E-2</v>
      </c>
      <c r="T22" s="123">
        <f t="shared" si="30"/>
        <v>16721.031426269139</v>
      </c>
      <c r="U22" s="123">
        <f t="shared" si="31"/>
        <v>791</v>
      </c>
      <c r="V22" s="122">
        <f t="shared" si="32"/>
        <v>17512.031426269139</v>
      </c>
      <c r="W22" s="98">
        <f>VLOOKUP(E22,'Peajes Circular CNMC'!$B$13:$J$23,7,FALSE)</f>
        <v>42.213333333333331</v>
      </c>
      <c r="X22" s="87">
        <f>VLOOKUP(E22,'Peajes Circular CNMC'!$B$13:$J$23,8,FALSE)</f>
        <v>0</v>
      </c>
      <c r="Y22" s="87">
        <f>VLOOKUP(E22,'Peajes Circular CNMC'!$B$13:$J$23,9,FALSE)</f>
        <v>0.70599999999999996</v>
      </c>
      <c r="Z22" s="123">
        <f t="shared" si="33"/>
        <v>57146.172441579372</v>
      </c>
      <c r="AA22" s="123">
        <f t="shared" si="34"/>
        <v>0</v>
      </c>
      <c r="AB22" s="123">
        <f t="shared" si="35"/>
        <v>24710</v>
      </c>
      <c r="AC22" s="122">
        <f t="shared" si="36"/>
        <v>81856.172441579372</v>
      </c>
      <c r="AD22" s="124">
        <f t="shared" si="37"/>
        <v>182563.67923045933</v>
      </c>
      <c r="AE22" s="79">
        <f t="shared" si="38"/>
        <v>5.2161051208702665</v>
      </c>
      <c r="AG22" s="96">
        <f>'Peajes Circular CNMC'!$H$42</f>
        <v>26.201279999999997</v>
      </c>
      <c r="AH22" s="88">
        <f>'Peajes Circular CNMC'!$I$42</f>
        <v>0.11939999999999999</v>
      </c>
      <c r="AI22" s="123">
        <f t="shared" si="15"/>
        <v>35469.903626107975</v>
      </c>
      <c r="AJ22" s="123">
        <f t="shared" si="16"/>
        <v>4179</v>
      </c>
      <c r="AK22" s="122">
        <f t="shared" si="39"/>
        <v>39648.903626107975</v>
      </c>
      <c r="AL22" s="88">
        <f>'Peajes Circular CNMC'!$H$35</f>
        <v>0.26106499999999999</v>
      </c>
      <c r="AM22" s="122">
        <f t="shared" si="40"/>
        <v>9137.2749999999996</v>
      </c>
      <c r="AN22" s="133">
        <f>'Peajes Actuales'!$U$30*$D$6*2</f>
        <v>1.5873015873015872</v>
      </c>
      <c r="AO22" s="122">
        <f t="shared" si="41"/>
        <v>55555.555555555555</v>
      </c>
      <c r="AP22" s="124">
        <f t="shared" si="42"/>
        <v>104341.73418166353</v>
      </c>
      <c r="AQ22" s="79">
        <f t="shared" si="43"/>
        <v>2.9811924051903866</v>
      </c>
      <c r="AS22" s="125">
        <f t="shared" si="20"/>
        <v>78221.945048795795</v>
      </c>
      <c r="AT22" s="100">
        <f t="shared" si="21"/>
        <v>0.4284638947818985</v>
      </c>
      <c r="AU22" s="192">
        <f t="shared" si="44"/>
        <v>2.2349127156798798</v>
      </c>
    </row>
    <row r="23" spans="2:47">
      <c r="B23" s="105">
        <v>40000</v>
      </c>
      <c r="C23" s="112">
        <f>IF($C$5&lt;&gt;"Memoria CNMC",$C$5,IF(B23&gt;'Tipología Clientes'!$C$16,'Tipología Clientes'!$L$16,IF(B23&gt;'Tipología Clientes'!$C$15,'Tipología Clientes'!$L$15,IF(B23&gt;'Tipología Clientes'!$C$14,'Tipología Clientes'!$L$14,IF(B23&gt;'Tipología Clientes'!$C$13,'Tipología Clientes'!$L$13,IF(B23&gt;'Tipología Clientes'!$C$12,'Tipología Clientes'!$L$12,IF(B23&gt;'Tipología Clientes'!$C$11,'Tipología Clientes'!$L$11,IF(B23&gt;'Tipología Clientes'!$C$10,'Tipología Clientes'!$L$10,IF(B23&gt;'Tipología Clientes'!$C$9,'Tipología Clientes'!$L$9,IF(B23&gt;'Tipología Clientes'!$C$8,'Tipología Clientes'!$L$8,IF(B23&gt;'Tipología Clientes'!$C$7,'Tipología Clientes'!$L$7,'Tipología Clientes'!$L$6)))))))))))</f>
        <v>0.85</v>
      </c>
      <c r="D23" s="113">
        <f t="shared" si="22"/>
        <v>128.92828364222402</v>
      </c>
      <c r="E23" s="76" t="str">
        <f>IF(B23&gt;'Peajes Circular CNMC'!$C$23,'Peajes Circular CNMC'!$B$23,IF(B23&gt;'Peajes Circular CNMC'!$C$22,'Peajes Circular CNMC'!$B$22,IF(B23&gt;'Peajes Circular CNMC'!$C$21,'Peajes Circular CNMC'!$B$21,IF(B23&gt;'Peajes Circular CNMC'!$C$20,'Peajes Circular CNMC'!$B$20,IF(B23&gt;'Peajes Circular CNMC'!$C$19,'Peajes Circular CNMC'!$B$19,IF(B23&gt;'Peajes Circular CNMC'!$C$18,'Peajes Circular CNMC'!$B$18,IF(B23&gt;'Peajes Circular CNMC'!$C$17,'Peajes Circular CNMC'!$B$17,IF(B23&gt;'Peajes Circular CNMC'!$C$16,'Peajes Circular CNMC'!$B$16,IF(B23&gt;'Peajes Circular CNMC'!$C$15,'Peajes Circular CNMC'!$B$15,IF(B23&gt;'Peajes Circular CNMC'!$C$14,'Peajes Circular CNMC'!$B$14,'Peajes Circular CNMC'!$B$13))))))))))</f>
        <v>D.8</v>
      </c>
      <c r="F23" s="96">
        <f>'Peajes Circular CNMC'!$H$30</f>
        <v>29.867609999999999</v>
      </c>
      <c r="G23" s="88">
        <f>'Peajes Circular CNMC'!$I$30</f>
        <v>0.15190999999999999</v>
      </c>
      <c r="H23" s="123">
        <f t="shared" si="23"/>
        <v>46209.356325543915</v>
      </c>
      <c r="I23" s="123">
        <f t="shared" si="24"/>
        <v>6076.4</v>
      </c>
      <c r="J23" s="122">
        <f t="shared" si="25"/>
        <v>52285.756325543916</v>
      </c>
      <c r="K23" s="88">
        <f>'Peajes Circular CNMC'!$H$35</f>
        <v>0.26106499999999999</v>
      </c>
      <c r="L23" s="122">
        <f t="shared" si="26"/>
        <v>10442.6</v>
      </c>
      <c r="M23" s="97">
        <f>'Peajes Circular CNMC'!$J$6</f>
        <v>20.326666666666664</v>
      </c>
      <c r="N23" s="97">
        <f>'Peajes Circular CNMC'!$J$7</f>
        <v>2.2599999999999999E-2</v>
      </c>
      <c r="O23" s="123">
        <f t="shared" si="27"/>
        <v>31448.186946011276</v>
      </c>
      <c r="P23" s="123">
        <f t="shared" si="28"/>
        <v>903.99999999999989</v>
      </c>
      <c r="Q23" s="122">
        <f t="shared" si="29"/>
        <v>32352.186946011276</v>
      </c>
      <c r="R23" s="97">
        <f>'Peajes Circular CNMC'!$K$6</f>
        <v>12.351666666666667</v>
      </c>
      <c r="S23" s="97">
        <f>'Peajes Circular CNMC'!$K$7</f>
        <v>2.2599999999999999E-2</v>
      </c>
      <c r="T23" s="123">
        <f t="shared" si="30"/>
        <v>19109.750201450443</v>
      </c>
      <c r="U23" s="123">
        <f t="shared" si="31"/>
        <v>903.99999999999989</v>
      </c>
      <c r="V23" s="122">
        <f t="shared" si="32"/>
        <v>20013.750201450443</v>
      </c>
      <c r="W23" s="98">
        <f>VLOOKUP(E23,'Peajes Circular CNMC'!$B$13:$J$23,7,FALSE)</f>
        <v>42.213333333333331</v>
      </c>
      <c r="X23" s="87">
        <f>VLOOKUP(E23,'Peajes Circular CNMC'!$B$13:$J$23,8,FALSE)</f>
        <v>0</v>
      </c>
      <c r="Y23" s="87">
        <f>VLOOKUP(E23,'Peajes Circular CNMC'!$B$13:$J$23,9,FALSE)</f>
        <v>0.70599999999999996</v>
      </c>
      <c r="Z23" s="123">
        <f t="shared" si="33"/>
        <v>65309.911361804989</v>
      </c>
      <c r="AA23" s="123">
        <f t="shared" si="34"/>
        <v>0</v>
      </c>
      <c r="AB23" s="123">
        <f t="shared" si="35"/>
        <v>28240</v>
      </c>
      <c r="AC23" s="122">
        <f t="shared" si="36"/>
        <v>93549.911361804989</v>
      </c>
      <c r="AD23" s="124">
        <f t="shared" si="37"/>
        <v>208644.20483481063</v>
      </c>
      <c r="AE23" s="79">
        <f t="shared" si="38"/>
        <v>5.2161051208702656</v>
      </c>
      <c r="AG23" s="96">
        <f>'Peajes Circular CNMC'!$H$42</f>
        <v>26.201279999999997</v>
      </c>
      <c r="AH23" s="88">
        <f>'Peajes Circular CNMC'!$I$42</f>
        <v>0.11939999999999999</v>
      </c>
      <c r="AI23" s="123">
        <f t="shared" si="15"/>
        <v>40537.03271555197</v>
      </c>
      <c r="AJ23" s="123">
        <f t="shared" si="16"/>
        <v>4776</v>
      </c>
      <c r="AK23" s="122">
        <f t="shared" si="39"/>
        <v>45313.03271555197</v>
      </c>
      <c r="AL23" s="88">
        <f>'Peajes Circular CNMC'!$H$35</f>
        <v>0.26106499999999999</v>
      </c>
      <c r="AM23" s="122">
        <f t="shared" si="40"/>
        <v>10442.6</v>
      </c>
      <c r="AN23" s="133">
        <f>'Peajes Actuales'!$U$30*$D$6*2</f>
        <v>1.5873015873015872</v>
      </c>
      <c r="AO23" s="122">
        <f t="shared" si="41"/>
        <v>63492.063492063491</v>
      </c>
      <c r="AP23" s="124">
        <f t="shared" si="42"/>
        <v>119247.69620761546</v>
      </c>
      <c r="AQ23" s="79">
        <f t="shared" si="43"/>
        <v>2.9811924051903866</v>
      </c>
      <c r="AS23" s="125">
        <f t="shared" si="20"/>
        <v>89396.508627195173</v>
      </c>
      <c r="AT23" s="100">
        <f t="shared" si="21"/>
        <v>0.42846389478189845</v>
      </c>
      <c r="AU23" s="192">
        <f t="shared" si="44"/>
        <v>2.2349127156798789</v>
      </c>
    </row>
    <row r="24" spans="2:47">
      <c r="B24" s="105">
        <v>45000</v>
      </c>
      <c r="C24" s="112">
        <f>IF($C$5&lt;&gt;"Memoria CNMC",$C$5,IF(B24&gt;'Tipología Clientes'!$C$16,'Tipología Clientes'!$L$16,IF(B24&gt;'Tipología Clientes'!$C$15,'Tipología Clientes'!$L$15,IF(B24&gt;'Tipología Clientes'!$C$14,'Tipología Clientes'!$L$14,IF(B24&gt;'Tipología Clientes'!$C$13,'Tipología Clientes'!$L$13,IF(B24&gt;'Tipología Clientes'!$C$12,'Tipología Clientes'!$L$12,IF(B24&gt;'Tipología Clientes'!$C$11,'Tipología Clientes'!$L$11,IF(B24&gt;'Tipología Clientes'!$C$10,'Tipología Clientes'!$L$10,IF(B24&gt;'Tipología Clientes'!$C$9,'Tipología Clientes'!$L$9,IF(B24&gt;'Tipología Clientes'!$C$8,'Tipología Clientes'!$L$8,IF(B24&gt;'Tipología Clientes'!$C$7,'Tipología Clientes'!$L$7,'Tipología Clientes'!$L$6)))))))))))</f>
        <v>0.85</v>
      </c>
      <c r="D24" s="113">
        <f t="shared" si="22"/>
        <v>145.04431909750201</v>
      </c>
      <c r="E24" s="76" t="str">
        <f>IF(B24&gt;'Peajes Circular CNMC'!$C$23,'Peajes Circular CNMC'!$B$23,IF(B24&gt;'Peajes Circular CNMC'!$C$22,'Peajes Circular CNMC'!$B$22,IF(B24&gt;'Peajes Circular CNMC'!$C$21,'Peajes Circular CNMC'!$B$21,IF(B24&gt;'Peajes Circular CNMC'!$C$20,'Peajes Circular CNMC'!$B$20,IF(B24&gt;'Peajes Circular CNMC'!$C$19,'Peajes Circular CNMC'!$B$19,IF(B24&gt;'Peajes Circular CNMC'!$C$18,'Peajes Circular CNMC'!$B$18,IF(B24&gt;'Peajes Circular CNMC'!$C$17,'Peajes Circular CNMC'!$B$17,IF(B24&gt;'Peajes Circular CNMC'!$C$16,'Peajes Circular CNMC'!$B$16,IF(B24&gt;'Peajes Circular CNMC'!$C$15,'Peajes Circular CNMC'!$B$15,IF(B24&gt;'Peajes Circular CNMC'!$C$14,'Peajes Circular CNMC'!$B$14,'Peajes Circular CNMC'!$B$13))))))))))</f>
        <v>D.8</v>
      </c>
      <c r="F24" s="96">
        <f>'Peajes Circular CNMC'!$H$30</f>
        <v>29.867609999999999</v>
      </c>
      <c r="G24" s="88">
        <f>'Peajes Circular CNMC'!$I$30</f>
        <v>0.15190999999999999</v>
      </c>
      <c r="H24" s="123">
        <f t="shared" si="23"/>
        <v>51985.525866236901</v>
      </c>
      <c r="I24" s="123">
        <f t="shared" si="24"/>
        <v>6835.95</v>
      </c>
      <c r="J24" s="122">
        <f t="shared" si="25"/>
        <v>58821.475866236899</v>
      </c>
      <c r="K24" s="88">
        <f>'Peajes Circular CNMC'!$H$35</f>
        <v>0.26106499999999999</v>
      </c>
      <c r="L24" s="122">
        <f t="shared" si="26"/>
        <v>11747.924999999999</v>
      </c>
      <c r="M24" s="97">
        <f>'Peajes Circular CNMC'!$J$6</f>
        <v>20.326666666666664</v>
      </c>
      <c r="N24" s="97">
        <f>'Peajes Circular CNMC'!$J$7</f>
        <v>2.2599999999999999E-2</v>
      </c>
      <c r="O24" s="123">
        <f t="shared" si="27"/>
        <v>35379.210314262687</v>
      </c>
      <c r="P24" s="123">
        <f t="shared" si="28"/>
        <v>1016.9999999999999</v>
      </c>
      <c r="Q24" s="122">
        <f t="shared" si="29"/>
        <v>36396.210314262687</v>
      </c>
      <c r="R24" s="97">
        <f>'Peajes Circular CNMC'!$K$6</f>
        <v>12.351666666666667</v>
      </c>
      <c r="S24" s="97">
        <f>'Peajes Circular CNMC'!$K$7</f>
        <v>2.2599999999999999E-2</v>
      </c>
      <c r="T24" s="123">
        <f t="shared" si="30"/>
        <v>21498.46897663175</v>
      </c>
      <c r="U24" s="123">
        <f t="shared" si="31"/>
        <v>1016.9999999999999</v>
      </c>
      <c r="V24" s="122">
        <f t="shared" si="32"/>
        <v>22515.46897663175</v>
      </c>
      <c r="W24" s="98">
        <f>VLOOKUP(E24,'Peajes Circular CNMC'!$B$13:$J$23,7,FALSE)</f>
        <v>42.213333333333331</v>
      </c>
      <c r="X24" s="87">
        <f>VLOOKUP(E24,'Peajes Circular CNMC'!$B$13:$J$23,8,FALSE)</f>
        <v>0</v>
      </c>
      <c r="Y24" s="87">
        <f>VLOOKUP(E24,'Peajes Circular CNMC'!$B$13:$J$23,9,FALSE)</f>
        <v>0.70599999999999996</v>
      </c>
      <c r="Z24" s="123">
        <f t="shared" si="33"/>
        <v>73473.650282030605</v>
      </c>
      <c r="AA24" s="123">
        <f t="shared" si="34"/>
        <v>0</v>
      </c>
      <c r="AB24" s="123">
        <f t="shared" si="35"/>
        <v>31770</v>
      </c>
      <c r="AC24" s="122">
        <f t="shared" si="36"/>
        <v>105243.65028203061</v>
      </c>
      <c r="AD24" s="124">
        <f t="shared" si="37"/>
        <v>234724.73043916194</v>
      </c>
      <c r="AE24" s="79">
        <f t="shared" si="38"/>
        <v>5.2161051208702656</v>
      </c>
      <c r="AG24" s="96">
        <f>'Peajes Circular CNMC'!$H$42</f>
        <v>26.201279999999997</v>
      </c>
      <c r="AH24" s="88">
        <f>'Peajes Circular CNMC'!$I$42</f>
        <v>0.11939999999999999</v>
      </c>
      <c r="AI24" s="123">
        <f t="shared" si="15"/>
        <v>45604.161804995965</v>
      </c>
      <c r="AJ24" s="123">
        <f t="shared" si="16"/>
        <v>5373</v>
      </c>
      <c r="AK24" s="122">
        <f t="shared" si="39"/>
        <v>50977.161804995965</v>
      </c>
      <c r="AL24" s="88">
        <f>'Peajes Circular CNMC'!$H$35</f>
        <v>0.26106499999999999</v>
      </c>
      <c r="AM24" s="122">
        <f t="shared" si="40"/>
        <v>11747.924999999999</v>
      </c>
      <c r="AN24" s="133">
        <f>'Peajes Actuales'!$U$30*$D$6*2</f>
        <v>1.5873015873015872</v>
      </c>
      <c r="AO24" s="122">
        <f t="shared" si="41"/>
        <v>71428.57142857142</v>
      </c>
      <c r="AP24" s="124">
        <f t="shared" si="42"/>
        <v>134153.65823356737</v>
      </c>
      <c r="AQ24" s="79">
        <f t="shared" si="43"/>
        <v>2.9811924051903862</v>
      </c>
      <c r="AS24" s="125">
        <f t="shared" si="20"/>
        <v>100571.07220559457</v>
      </c>
      <c r="AT24" s="100">
        <f t="shared" si="21"/>
        <v>0.4284638947818985</v>
      </c>
      <c r="AU24" s="192">
        <f t="shared" si="44"/>
        <v>2.2349127156798794</v>
      </c>
    </row>
    <row r="25" spans="2:47">
      <c r="B25" s="105">
        <v>50000</v>
      </c>
      <c r="C25" s="112">
        <f>IF($C$5&lt;&gt;"Memoria CNMC",$C$5,IF(B25&gt;'Tipología Clientes'!$C$16,'Tipología Clientes'!$L$16,IF(B25&gt;'Tipología Clientes'!$C$15,'Tipología Clientes'!$L$15,IF(B25&gt;'Tipología Clientes'!$C$14,'Tipología Clientes'!$L$14,IF(B25&gt;'Tipología Clientes'!$C$13,'Tipología Clientes'!$L$13,IF(B25&gt;'Tipología Clientes'!$C$12,'Tipología Clientes'!$L$12,IF(B25&gt;'Tipología Clientes'!$C$11,'Tipología Clientes'!$L$11,IF(B25&gt;'Tipología Clientes'!$C$10,'Tipología Clientes'!$L$10,IF(B25&gt;'Tipología Clientes'!$C$9,'Tipología Clientes'!$L$9,IF(B25&gt;'Tipología Clientes'!$C$8,'Tipología Clientes'!$L$8,IF(B25&gt;'Tipología Clientes'!$C$7,'Tipología Clientes'!$L$7,'Tipología Clientes'!$L$6)))))))))))</f>
        <v>0.85</v>
      </c>
      <c r="D25" s="113">
        <f t="shared" si="22"/>
        <v>161.16035455278003</v>
      </c>
      <c r="E25" s="76" t="str">
        <f>IF(B25&gt;'Peajes Circular CNMC'!$C$23,'Peajes Circular CNMC'!$B$23,IF(B25&gt;'Peajes Circular CNMC'!$C$22,'Peajes Circular CNMC'!$B$22,IF(B25&gt;'Peajes Circular CNMC'!$C$21,'Peajes Circular CNMC'!$B$21,IF(B25&gt;'Peajes Circular CNMC'!$C$20,'Peajes Circular CNMC'!$B$20,IF(B25&gt;'Peajes Circular CNMC'!$C$19,'Peajes Circular CNMC'!$B$19,IF(B25&gt;'Peajes Circular CNMC'!$C$18,'Peajes Circular CNMC'!$B$18,IF(B25&gt;'Peajes Circular CNMC'!$C$17,'Peajes Circular CNMC'!$B$17,IF(B25&gt;'Peajes Circular CNMC'!$C$16,'Peajes Circular CNMC'!$B$16,IF(B25&gt;'Peajes Circular CNMC'!$C$15,'Peajes Circular CNMC'!$B$15,IF(B25&gt;'Peajes Circular CNMC'!$C$14,'Peajes Circular CNMC'!$B$14,'Peajes Circular CNMC'!$B$13))))))))))</f>
        <v>D.8</v>
      </c>
      <c r="F25" s="96">
        <f>'Peajes Circular CNMC'!$H$30</f>
        <v>29.867609999999999</v>
      </c>
      <c r="G25" s="88">
        <f>'Peajes Circular CNMC'!$I$30</f>
        <v>0.15190999999999999</v>
      </c>
      <c r="H25" s="123">
        <f t="shared" si="23"/>
        <v>57761.695406929903</v>
      </c>
      <c r="I25" s="123">
        <f t="shared" si="24"/>
        <v>7595.4999999999991</v>
      </c>
      <c r="J25" s="122">
        <f t="shared" si="25"/>
        <v>65357.195406929903</v>
      </c>
      <c r="K25" s="88">
        <f>'Peajes Circular CNMC'!$H$35</f>
        <v>0.26106499999999999</v>
      </c>
      <c r="L25" s="122">
        <f t="shared" si="26"/>
        <v>13053.25</v>
      </c>
      <c r="M25" s="97">
        <f>'Peajes Circular CNMC'!$J$6</f>
        <v>20.326666666666664</v>
      </c>
      <c r="N25" s="97">
        <f>'Peajes Circular CNMC'!$J$7</f>
        <v>2.2599999999999999E-2</v>
      </c>
      <c r="O25" s="123">
        <f t="shared" si="27"/>
        <v>39310.233682514103</v>
      </c>
      <c r="P25" s="123">
        <f t="shared" si="28"/>
        <v>1130</v>
      </c>
      <c r="Q25" s="122">
        <f t="shared" si="29"/>
        <v>40440.233682514103</v>
      </c>
      <c r="R25" s="97">
        <f>'Peajes Circular CNMC'!$K$6</f>
        <v>12.351666666666667</v>
      </c>
      <c r="S25" s="97">
        <f>'Peajes Circular CNMC'!$K$7</f>
        <v>2.2599999999999999E-2</v>
      </c>
      <c r="T25" s="123">
        <f t="shared" si="30"/>
        <v>23887.187751813057</v>
      </c>
      <c r="U25" s="123">
        <f t="shared" si="31"/>
        <v>1130</v>
      </c>
      <c r="V25" s="122">
        <f t="shared" si="32"/>
        <v>25017.187751813057</v>
      </c>
      <c r="W25" s="98">
        <f>VLOOKUP(E25,'Peajes Circular CNMC'!$B$13:$J$23,7,FALSE)</f>
        <v>42.213333333333331</v>
      </c>
      <c r="X25" s="87">
        <f>VLOOKUP(E25,'Peajes Circular CNMC'!$B$13:$J$23,8,FALSE)</f>
        <v>0</v>
      </c>
      <c r="Y25" s="87">
        <f>VLOOKUP(E25,'Peajes Circular CNMC'!$B$13:$J$23,9,FALSE)</f>
        <v>0.70599999999999996</v>
      </c>
      <c r="Z25" s="123">
        <f t="shared" si="33"/>
        <v>81637.38920225625</v>
      </c>
      <c r="AA25" s="123">
        <f t="shared" si="34"/>
        <v>0</v>
      </c>
      <c r="AB25" s="123">
        <f t="shared" si="35"/>
        <v>35300</v>
      </c>
      <c r="AC25" s="122">
        <f t="shared" si="36"/>
        <v>116937.38920225625</v>
      </c>
      <c r="AD25" s="124">
        <f t="shared" si="37"/>
        <v>260805.25604351333</v>
      </c>
      <c r="AE25" s="79">
        <f t="shared" si="38"/>
        <v>5.2161051208702665</v>
      </c>
      <c r="AG25" s="96">
        <f>'Peajes Circular CNMC'!$H$42</f>
        <v>26.201279999999997</v>
      </c>
      <c r="AH25" s="88">
        <f>'Peajes Circular CNMC'!$I$42</f>
        <v>0.11939999999999999</v>
      </c>
      <c r="AI25" s="123">
        <f t="shared" si="15"/>
        <v>50671.290894439968</v>
      </c>
      <c r="AJ25" s="123">
        <f t="shared" si="16"/>
        <v>5970</v>
      </c>
      <c r="AK25" s="122">
        <f t="shared" si="39"/>
        <v>56641.290894439968</v>
      </c>
      <c r="AL25" s="88">
        <f>'Peajes Circular CNMC'!$H$35</f>
        <v>0.26106499999999999</v>
      </c>
      <c r="AM25" s="122">
        <f t="shared" si="40"/>
        <v>13053.25</v>
      </c>
      <c r="AN25" s="133">
        <f>'Peajes Actuales'!$U$30*$D$6*2</f>
        <v>1.5873015873015872</v>
      </c>
      <c r="AO25" s="122">
        <f t="shared" si="41"/>
        <v>79365.079365079364</v>
      </c>
      <c r="AP25" s="124">
        <f t="shared" si="42"/>
        <v>149059.62025951932</v>
      </c>
      <c r="AQ25" s="79">
        <f t="shared" si="43"/>
        <v>2.9811924051903862</v>
      </c>
      <c r="AS25" s="125">
        <f t="shared" si="20"/>
        <v>111745.63578399402</v>
      </c>
      <c r="AT25" s="100">
        <f t="shared" si="21"/>
        <v>0.42846389478189856</v>
      </c>
      <c r="AU25" s="192">
        <f t="shared" si="44"/>
        <v>2.2349127156798803</v>
      </c>
    </row>
    <row r="29" spans="2:47">
      <c r="N29" s="67">
        <f>I29/SUM($I$25:$I$29)</f>
        <v>0</v>
      </c>
    </row>
  </sheetData>
  <customSheetViews>
    <customSheetView guid="{96C67CFB-CE46-46EB-8800-9D77F2045444}" scale="90" showGridLines="0" fitToPage="1" hiddenColumns="1">
      <pane ySplit="6" topLeftCell="A37" activePane="bottomLeft" state="frozen"/>
      <selection pane="bottomLeft" activeCell="AK17" sqref="AK17"/>
      <pageMargins left="0.70866141732283472" right="0.70866141732283472" top="0.74803149606299213" bottom="0.74803149606299213" header="0.31496062992125984" footer="0.31496062992125984"/>
      <pageSetup paperSize="8" scale="66" orientation="landscape" r:id="rId1"/>
      <headerFooter>
        <oddHeader>&amp;L&amp;F&amp;R&amp;A</oddHeader>
        <oddFooter>&amp;R&amp;Z&amp;F</oddFooter>
      </headerFooter>
    </customSheetView>
    <customSheetView guid="{DE30ACA8-1284-4798-8E7A-589852EF3C29}" scale="90" showGridLines="0" fitToPage="1" hiddenColumns="1">
      <pane ySplit="6" topLeftCell="A37" activePane="bottomLeft" state="frozen"/>
      <selection pane="bottomLeft" activeCell="AK17" sqref="AK17"/>
      <pageMargins left="0.70866141732283472" right="0.70866141732283472" top="0.74803149606299213" bottom="0.74803149606299213" header="0.31496062992125984" footer="0.31496062992125984"/>
      <pageSetup paperSize="8" scale="66" orientation="landscape" r:id="rId2"/>
      <headerFooter>
        <oddHeader>&amp;L&amp;F&amp;R&amp;A</oddHeader>
        <oddFooter>&amp;R&amp;Z&amp;F</oddFooter>
      </headerFooter>
    </customSheetView>
  </customSheetViews>
  <mergeCells count="16">
    <mergeCell ref="AG6:AQ6"/>
    <mergeCell ref="AG7:AK7"/>
    <mergeCell ref="AN7:AO7"/>
    <mergeCell ref="AP7:AQ7"/>
    <mergeCell ref="C5:D5"/>
    <mergeCell ref="F6:AE6"/>
    <mergeCell ref="F7:J7"/>
    <mergeCell ref="M7:Q7"/>
    <mergeCell ref="R7:V7"/>
    <mergeCell ref="K7:L7"/>
    <mergeCell ref="AP8:AQ8"/>
    <mergeCell ref="W7:AC7"/>
    <mergeCell ref="AD7:AE7"/>
    <mergeCell ref="AD8:AE8"/>
    <mergeCell ref="AS8:AT8"/>
    <mergeCell ref="AL7:AM7"/>
  </mergeCells>
  <conditionalFormatting sqref="AS18:AS25 AS10:AT16">
    <cfRule type="cellIs" dxfId="13" priority="12" operator="greaterThan">
      <formula>0</formula>
    </cfRule>
  </conditionalFormatting>
  <conditionalFormatting sqref="AT18:AT25">
    <cfRule type="cellIs" dxfId="12" priority="11" operator="greaterThan">
      <formula>0</formula>
    </cfRule>
  </conditionalFormatting>
  <conditionalFormatting sqref="AS18:AS25 AS10:AT16">
    <cfRule type="cellIs" dxfId="11" priority="10" operator="lessThan">
      <formula>0</formula>
    </cfRule>
  </conditionalFormatting>
  <conditionalFormatting sqref="AT18:AT25">
    <cfRule type="cellIs" dxfId="10" priority="9" operator="lessThan">
      <formula>0</formula>
    </cfRule>
  </conditionalFormatting>
  <conditionalFormatting sqref="AS17">
    <cfRule type="cellIs" dxfId="9" priority="6" operator="greaterThan">
      <formula>0</formula>
    </cfRule>
  </conditionalFormatting>
  <conditionalFormatting sqref="AT17">
    <cfRule type="cellIs" dxfId="8" priority="5" operator="greaterThan">
      <formula>0</formula>
    </cfRule>
  </conditionalFormatting>
  <conditionalFormatting sqref="AS17">
    <cfRule type="cellIs" dxfId="7" priority="4" operator="lessThan">
      <formula>0</formula>
    </cfRule>
  </conditionalFormatting>
  <conditionalFormatting sqref="AT17">
    <cfRule type="cellIs" dxfId="6" priority="3" operator="lessThan">
      <formula>0</formula>
    </cfRule>
  </conditionalFormatting>
  <conditionalFormatting sqref="AU10:AU25">
    <cfRule type="cellIs" dxfId="5" priority="2" operator="greaterThan">
      <formula>0</formula>
    </cfRule>
  </conditionalFormatting>
  <conditionalFormatting sqref="AU10:AU25">
    <cfRule type="cellIs" dxfId="4" priority="1" operator="lessThan">
      <formula>0</formula>
    </cfRule>
  </conditionalFormatting>
  <dataValidations count="1">
    <dataValidation type="list" allowBlank="1" showInputMessage="1" showErrorMessage="1" sqref="C5">
      <mc:AlternateContent xmlns:x12ac="http://schemas.microsoft.com/office/spreadsheetml/2011/1/ac" xmlns:mc="http://schemas.openxmlformats.org/markup-compatibility/2006">
        <mc:Choice Requires="x12ac">
          <x12ac:list>Memoria CNMC,"0,80","0,85","0,90"</x12ac:list>
        </mc:Choice>
        <mc:Fallback>
          <formula1>"Memoria CNMC,0,80,0,85,0,90"</formula1>
        </mc:Fallback>
      </mc:AlternateContent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0" orientation="landscape" r:id="rId3"/>
  <headerFooter>
    <oddHeader>&amp;LANEXO I: CÁLCULOS DEL IMPACTO INICIAL DE LA NUEVA METODOLOGÍA DE PEAJES SOBRE LOS CLIENTES&amp;R&amp;A</oddHeader>
  </headerFooter>
  <drawing r:id="rId4"/>
  <legacyDrawing r:id="rId5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2:AV29"/>
  <sheetViews>
    <sheetView showGridLines="0" topLeftCell="A4" zoomScale="90" zoomScaleNormal="90" workbookViewId="0">
      <selection activeCell="AD62" sqref="AD62"/>
    </sheetView>
  </sheetViews>
  <sheetFormatPr baseColWidth="10" defaultColWidth="11" defaultRowHeight="16.5" outlineLevelCol="1"/>
  <cols>
    <col min="1" max="1" width="2.140625" style="67" customWidth="1"/>
    <col min="2" max="2" width="11.85546875" style="66" customWidth="1"/>
    <col min="3" max="3" width="6.7109375" style="67" customWidth="1"/>
    <col min="4" max="4" width="10.42578125" style="67" customWidth="1"/>
    <col min="5" max="5" width="7.140625" style="67" bestFit="1" customWidth="1"/>
    <col min="6" max="6" width="6.140625" style="67" bestFit="1" customWidth="1"/>
    <col min="7" max="7" width="9.7109375" style="67" hidden="1" customWidth="1" outlineLevel="1"/>
    <col min="8" max="8" width="8.5703125" style="67" hidden="1" customWidth="1" outlineLevel="1"/>
    <col min="9" max="9" width="13.85546875" style="67" hidden="1" customWidth="1" outlineLevel="1"/>
    <col min="10" max="10" width="11.5703125" style="67" hidden="1" customWidth="1" outlineLevel="1"/>
    <col min="11" max="11" width="15.5703125" style="67" bestFit="1" customWidth="1" collapsed="1"/>
    <col min="12" max="12" width="14.140625" style="67" hidden="1" customWidth="1" outlineLevel="1"/>
    <col min="13" max="13" width="14.140625" style="67" customWidth="1" collapsed="1"/>
    <col min="14" max="14" width="8.28515625" style="67" hidden="1" customWidth="1" outlineLevel="1"/>
    <col min="15" max="17" width="13.42578125" style="67" hidden="1" customWidth="1" outlineLevel="1"/>
    <col min="18" max="18" width="16.5703125" style="67" customWidth="1" collapsed="1"/>
    <col min="19" max="22" width="13.42578125" style="67" hidden="1" customWidth="1" outlineLevel="1"/>
    <col min="23" max="23" width="18.5703125" style="67" customWidth="1" collapsed="1"/>
    <col min="24" max="25" width="13.42578125" style="67" hidden="1" customWidth="1" outlineLevel="1"/>
    <col min="26" max="26" width="7.42578125" style="67" hidden="1" customWidth="1" outlineLevel="1"/>
    <col min="27" max="27" width="12.5703125" style="67" hidden="1" customWidth="1" outlineLevel="1"/>
    <col min="28" max="28" width="11.5703125" style="67" hidden="1" customWidth="1" outlineLevel="1"/>
    <col min="29" max="29" width="12.5703125" style="67" hidden="1" customWidth="1" outlineLevel="1"/>
    <col min="30" max="30" width="14.42578125" style="67" customWidth="1" collapsed="1"/>
    <col min="31" max="31" width="16" style="67" customWidth="1"/>
    <col min="32" max="32" width="6.5703125" style="67" bestFit="1" customWidth="1"/>
    <col min="33" max="33" width="2.42578125" style="67" customWidth="1"/>
    <col min="34" max="34" width="13.42578125" style="67" hidden="1" customWidth="1" outlineLevel="1"/>
    <col min="35" max="35" width="9.5703125" style="67" hidden="1" customWidth="1" outlineLevel="1"/>
    <col min="36" max="36" width="16.28515625" style="67" hidden="1" customWidth="1" outlineLevel="1"/>
    <col min="37" max="37" width="11.5703125" style="67" hidden="1" customWidth="1" outlineLevel="1"/>
    <col min="38" max="38" width="15.5703125" style="67" bestFit="1" customWidth="1" collapsed="1"/>
    <col min="39" max="39" width="9" style="67" hidden="1" customWidth="1" outlineLevel="1"/>
    <col min="40" max="40" width="14.7109375" style="67" customWidth="1" collapsed="1"/>
    <col min="41" max="41" width="9.42578125" style="67" hidden="1" customWidth="1" outlineLevel="1"/>
    <col min="42" max="42" width="16.28515625" style="67" customWidth="1" collapsed="1"/>
    <col min="43" max="43" width="15.7109375" style="67" customWidth="1"/>
    <col min="44" max="44" width="6.5703125" style="67" bestFit="1" customWidth="1"/>
    <col min="45" max="45" width="3" style="67" customWidth="1"/>
    <col min="46" max="46" width="13.85546875" style="67" customWidth="1"/>
    <col min="47" max="47" width="9.42578125" style="67" customWidth="1"/>
    <col min="48" max="48" width="8.42578125" style="67" bestFit="1" customWidth="1"/>
    <col min="49" max="16384" width="11" style="67"/>
  </cols>
  <sheetData>
    <row r="2" spans="2:48" ht="18">
      <c r="B2" s="205" t="s">
        <v>137</v>
      </c>
    </row>
    <row r="3" spans="2:48" ht="20.25">
      <c r="B3" s="206" t="s">
        <v>145</v>
      </c>
    </row>
    <row r="5" spans="2:48">
      <c r="B5" s="128" t="s">
        <v>38</v>
      </c>
      <c r="C5" s="252">
        <v>0.85</v>
      </c>
      <c r="D5" s="253"/>
    </row>
    <row r="6" spans="2:48">
      <c r="B6" s="126" t="s">
        <v>108</v>
      </c>
      <c r="C6" s="130"/>
      <c r="D6" s="134">
        <v>250</v>
      </c>
      <c r="G6" s="247" t="s">
        <v>101</v>
      </c>
      <c r="H6" s="248"/>
      <c r="I6" s="248"/>
      <c r="J6" s="248"/>
      <c r="K6" s="248"/>
      <c r="L6" s="248"/>
      <c r="M6" s="248"/>
      <c r="N6" s="248"/>
      <c r="O6" s="248"/>
      <c r="P6" s="248"/>
      <c r="Q6" s="248"/>
      <c r="R6" s="248"/>
      <c r="S6" s="248"/>
      <c r="T6" s="248"/>
      <c r="U6" s="248"/>
      <c r="V6" s="248"/>
      <c r="W6" s="248"/>
      <c r="X6" s="248"/>
      <c r="Y6" s="248"/>
      <c r="Z6" s="248"/>
      <c r="AA6" s="248"/>
      <c r="AB6" s="248"/>
      <c r="AC6" s="248"/>
      <c r="AD6" s="248"/>
      <c r="AE6" s="248"/>
      <c r="AF6" s="249"/>
      <c r="AH6" s="247" t="s">
        <v>115</v>
      </c>
      <c r="AI6" s="248"/>
      <c r="AJ6" s="248"/>
      <c r="AK6" s="248"/>
      <c r="AL6" s="248"/>
      <c r="AM6" s="248"/>
      <c r="AN6" s="248"/>
      <c r="AO6" s="248"/>
      <c r="AP6" s="248"/>
      <c r="AQ6" s="248"/>
      <c r="AR6" s="249"/>
    </row>
    <row r="7" spans="2:48">
      <c r="G7" s="240" t="s">
        <v>94</v>
      </c>
      <c r="H7" s="241"/>
      <c r="I7" s="241"/>
      <c r="J7" s="241"/>
      <c r="K7" s="242"/>
      <c r="L7" s="240" t="s">
        <v>133</v>
      </c>
      <c r="M7" s="242"/>
      <c r="N7" s="240" t="s">
        <v>134</v>
      </c>
      <c r="O7" s="241"/>
      <c r="P7" s="241"/>
      <c r="Q7" s="241"/>
      <c r="R7" s="242"/>
      <c r="S7" s="240" t="s">
        <v>135</v>
      </c>
      <c r="T7" s="241"/>
      <c r="U7" s="241"/>
      <c r="V7" s="241"/>
      <c r="W7" s="242"/>
      <c r="X7" s="240" t="s">
        <v>104</v>
      </c>
      <c r="Y7" s="241"/>
      <c r="Z7" s="241"/>
      <c r="AA7" s="241"/>
      <c r="AB7" s="241"/>
      <c r="AC7" s="241"/>
      <c r="AD7" s="242"/>
      <c r="AE7" s="240" t="s">
        <v>99</v>
      </c>
      <c r="AF7" s="242"/>
      <c r="AH7" s="240" t="s">
        <v>107</v>
      </c>
      <c r="AI7" s="241"/>
      <c r="AJ7" s="241"/>
      <c r="AK7" s="241"/>
      <c r="AL7" s="242"/>
      <c r="AM7" s="240" t="s">
        <v>133</v>
      </c>
      <c r="AN7" s="242"/>
      <c r="AO7" s="240" t="s">
        <v>136</v>
      </c>
      <c r="AP7" s="242"/>
      <c r="AQ7" s="240" t="s">
        <v>114</v>
      </c>
      <c r="AR7" s="242"/>
    </row>
    <row r="8" spans="2:48">
      <c r="B8" s="68" t="s">
        <v>86</v>
      </c>
      <c r="C8" s="213" t="s">
        <v>38</v>
      </c>
      <c r="D8" s="210" t="s">
        <v>88</v>
      </c>
      <c r="G8" s="211" t="s">
        <v>54</v>
      </c>
      <c r="H8" s="91" t="s">
        <v>91</v>
      </c>
      <c r="I8" s="92" t="s">
        <v>54</v>
      </c>
      <c r="J8" s="92" t="s">
        <v>91</v>
      </c>
      <c r="K8" s="93" t="s">
        <v>92</v>
      </c>
      <c r="L8" s="198"/>
      <c r="M8" s="212" t="s">
        <v>92</v>
      </c>
      <c r="N8" s="211" t="s">
        <v>54</v>
      </c>
      <c r="O8" s="91" t="s">
        <v>91</v>
      </c>
      <c r="P8" s="91" t="s">
        <v>54</v>
      </c>
      <c r="Q8" s="91" t="s">
        <v>91</v>
      </c>
      <c r="R8" s="212" t="s">
        <v>92</v>
      </c>
      <c r="S8" s="211" t="s">
        <v>54</v>
      </c>
      <c r="T8" s="91" t="s">
        <v>91</v>
      </c>
      <c r="U8" s="91" t="s">
        <v>54</v>
      </c>
      <c r="V8" s="91" t="s">
        <v>91</v>
      </c>
      <c r="W8" s="212" t="s">
        <v>92</v>
      </c>
      <c r="X8" s="211" t="s">
        <v>90</v>
      </c>
      <c r="Y8" s="91" t="s">
        <v>50</v>
      </c>
      <c r="Z8" s="91" t="s">
        <v>91</v>
      </c>
      <c r="AA8" s="91" t="s">
        <v>90</v>
      </c>
      <c r="AB8" s="91" t="s">
        <v>50</v>
      </c>
      <c r="AC8" s="91" t="s">
        <v>91</v>
      </c>
      <c r="AD8" s="212" t="s">
        <v>92</v>
      </c>
      <c r="AE8" s="250" t="s">
        <v>98</v>
      </c>
      <c r="AF8" s="251"/>
      <c r="AH8" s="211" t="s">
        <v>54</v>
      </c>
      <c r="AI8" s="91" t="s">
        <v>91</v>
      </c>
      <c r="AJ8" s="92" t="s">
        <v>54</v>
      </c>
      <c r="AK8" s="92" t="s">
        <v>91</v>
      </c>
      <c r="AL8" s="93" t="s">
        <v>92</v>
      </c>
      <c r="AM8" s="198"/>
      <c r="AN8" s="212" t="s">
        <v>92</v>
      </c>
      <c r="AO8" s="91" t="s">
        <v>91</v>
      </c>
      <c r="AP8" s="91" t="s">
        <v>92</v>
      </c>
      <c r="AQ8" s="250" t="s">
        <v>98</v>
      </c>
      <c r="AR8" s="251"/>
      <c r="AT8" s="243" t="s">
        <v>92</v>
      </c>
      <c r="AU8" s="243"/>
    </row>
    <row r="9" spans="2:48" s="74" customFormat="1">
      <c r="B9" s="71" t="s">
        <v>87</v>
      </c>
      <c r="C9" s="72" t="s">
        <v>53</v>
      </c>
      <c r="D9" s="73" t="s">
        <v>37</v>
      </c>
      <c r="E9" s="210" t="s">
        <v>143</v>
      </c>
      <c r="F9" s="135" t="s">
        <v>144</v>
      </c>
      <c r="G9" s="73" t="s">
        <v>58</v>
      </c>
      <c r="H9" s="73" t="s">
        <v>12</v>
      </c>
      <c r="I9" s="77" t="s">
        <v>93</v>
      </c>
      <c r="J9" s="77" t="s">
        <v>93</v>
      </c>
      <c r="K9" s="77" t="s">
        <v>93</v>
      </c>
      <c r="L9" s="73" t="s">
        <v>12</v>
      </c>
      <c r="M9" s="77" t="s">
        <v>93</v>
      </c>
      <c r="N9" s="73" t="s">
        <v>58</v>
      </c>
      <c r="O9" s="73" t="s">
        <v>12</v>
      </c>
      <c r="P9" s="73" t="s">
        <v>93</v>
      </c>
      <c r="Q9" s="73" t="s">
        <v>93</v>
      </c>
      <c r="R9" s="73" t="s">
        <v>93</v>
      </c>
      <c r="S9" s="73" t="s">
        <v>58</v>
      </c>
      <c r="T9" s="73" t="s">
        <v>12</v>
      </c>
      <c r="U9" s="73" t="s">
        <v>93</v>
      </c>
      <c r="V9" s="73" t="s">
        <v>93</v>
      </c>
      <c r="W9" s="73" t="s">
        <v>93</v>
      </c>
      <c r="X9" s="73" t="s">
        <v>58</v>
      </c>
      <c r="Y9" s="73" t="s">
        <v>97</v>
      </c>
      <c r="Z9" s="73" t="s">
        <v>12</v>
      </c>
      <c r="AA9" s="73" t="s">
        <v>93</v>
      </c>
      <c r="AB9" s="73" t="s">
        <v>93</v>
      </c>
      <c r="AC9" s="73" t="s">
        <v>93</v>
      </c>
      <c r="AD9" s="73" t="s">
        <v>93</v>
      </c>
      <c r="AE9" s="73" t="s">
        <v>93</v>
      </c>
      <c r="AF9" s="73" t="s">
        <v>12</v>
      </c>
      <c r="AH9" s="138" t="s">
        <v>58</v>
      </c>
      <c r="AI9" s="73" t="s">
        <v>113</v>
      </c>
      <c r="AJ9" s="77" t="s">
        <v>93</v>
      </c>
      <c r="AK9" s="77" t="s">
        <v>93</v>
      </c>
      <c r="AL9" s="139" t="s">
        <v>93</v>
      </c>
      <c r="AM9" s="73" t="s">
        <v>12</v>
      </c>
      <c r="AN9" s="77" t="s">
        <v>93</v>
      </c>
      <c r="AO9" s="73" t="s">
        <v>12</v>
      </c>
      <c r="AP9" s="73" t="s">
        <v>93</v>
      </c>
      <c r="AQ9" s="73" t="s">
        <v>93</v>
      </c>
      <c r="AR9" s="73" t="s">
        <v>12</v>
      </c>
      <c r="AT9" s="103" t="s">
        <v>103</v>
      </c>
      <c r="AU9" s="104" t="s">
        <v>53</v>
      </c>
      <c r="AV9" s="191" t="s">
        <v>126</v>
      </c>
    </row>
    <row r="10" spans="2:48">
      <c r="B10" s="105">
        <v>457</v>
      </c>
      <c r="C10" s="112">
        <f>IF($C$5&lt;&gt;"Memoria CNMC",$C$5,IF(B10&gt;'Tipología Clientes'!$C$16,'Tipología Clientes'!$L$16,IF(B10&gt;'Tipología Clientes'!$C$15,'Tipología Clientes'!$L$15,IF(B10&gt;'Tipología Clientes'!$C$14,'Tipología Clientes'!$L$14,IF(B10&gt;'Tipología Clientes'!$C$13,'Tipología Clientes'!$L$13,IF(B10&gt;'Tipología Clientes'!$C$12,'Tipología Clientes'!$L$12,IF(B10&gt;'Tipología Clientes'!$C$11,'Tipología Clientes'!$L$11,IF(B10&gt;'Tipología Clientes'!$C$10,'Tipología Clientes'!$L$10,IF(B10&gt;'Tipología Clientes'!$C$9,'Tipología Clientes'!$L$9,IF(B10&gt;'Tipología Clientes'!$C$8,'Tipología Clientes'!$L$8,IF(B10&gt;'Tipología Clientes'!$C$7,'Tipología Clientes'!$L$7,'Tipología Clientes'!$L$6)))))))))))</f>
        <v>0.85</v>
      </c>
      <c r="D10" s="113">
        <f t="shared" ref="D10:D15" si="0">B10/365/C10</f>
        <v>1.4730056406124095</v>
      </c>
      <c r="E10" s="76" t="s">
        <v>70</v>
      </c>
      <c r="F10" s="76" t="str">
        <f>IF(B10&gt;'Peajes Circular CNMC'!$C$23,'Peajes Circular CNMC'!$B$23,IF(B10&gt;'Peajes Circular CNMC'!$C$22,'Peajes Circular CNMC'!$B$22,IF(B10&gt;'Peajes Circular CNMC'!$C$21,'Peajes Circular CNMC'!$B$21,IF(B10&gt;'Peajes Circular CNMC'!$C$20,'Peajes Circular CNMC'!$B$20,IF(B10&gt;'Peajes Circular CNMC'!$C$19,'Peajes Circular CNMC'!$B$19,IF(B10&gt;'Peajes Circular CNMC'!$C$18,'Peajes Circular CNMC'!$B$18,IF(B10&gt;'Peajes Circular CNMC'!$C$17,'Peajes Circular CNMC'!$B$17,IF(B10&gt;'Peajes Circular CNMC'!$C$16,'Peajes Circular CNMC'!$B$16,IF(B10&gt;'Peajes Circular CNMC'!$C$15,'Peajes Circular CNMC'!$B$15,IF(B10&gt;'Peajes Circular CNMC'!$C$14,'Peajes Circular CNMC'!$B$14,'Peajes Circular CNMC'!$B$13))))))))))</f>
        <v>D.5</v>
      </c>
      <c r="G10" s="96">
        <f>'Peajes Circular CNMC'!$H$30</f>
        <v>29.867609999999999</v>
      </c>
      <c r="H10" s="88">
        <f>'Peajes Circular CNMC'!$I$30</f>
        <v>0.15190999999999999</v>
      </c>
      <c r="I10" s="123">
        <f t="shared" ref="I10:I15" si="1">12*G10*D10</f>
        <v>527.94189601933931</v>
      </c>
      <c r="J10" s="123">
        <f t="shared" ref="J10:J15" si="2">H10*B10</f>
        <v>69.422869999999989</v>
      </c>
      <c r="K10" s="122">
        <f t="shared" ref="K10:K15" si="3">I10+J10</f>
        <v>597.3647660193393</v>
      </c>
      <c r="L10" s="88">
        <f>'Peajes Circular CNMC'!$H$35</f>
        <v>0.26106499999999999</v>
      </c>
      <c r="M10" s="122">
        <f t="shared" ref="M10:M15" si="4">B10*L10</f>
        <v>119.30670499999999</v>
      </c>
      <c r="N10" s="97">
        <f>'Peajes Circular CNMC'!$J$6</f>
        <v>20.326666666666664</v>
      </c>
      <c r="O10" s="97">
        <f>'Peajes Circular CNMC'!$J$7</f>
        <v>2.2599999999999999E-2</v>
      </c>
      <c r="P10" s="123">
        <f t="shared" ref="P10:P15" si="5">N10*12*D10</f>
        <v>359.29553585817888</v>
      </c>
      <c r="Q10" s="123">
        <f t="shared" ref="Q10:Q15" si="6">O10*B10</f>
        <v>10.328199999999999</v>
      </c>
      <c r="R10" s="122">
        <f t="shared" ref="R10:R15" si="7">P10+Q10</f>
        <v>369.62373585817886</v>
      </c>
      <c r="S10" s="97">
        <f>'Peajes Circular CNMC'!$K$6</f>
        <v>12.351666666666667</v>
      </c>
      <c r="T10" s="97">
        <f>'Peajes Circular CNMC'!$K$7</f>
        <v>2.2599999999999999E-2</v>
      </c>
      <c r="U10" s="123">
        <f t="shared" ref="U10:U15" si="8">S10*12*D10</f>
        <v>218.32889605157132</v>
      </c>
      <c r="V10" s="123">
        <f t="shared" ref="V10:V15" si="9">T10*B10</f>
        <v>10.328199999999999</v>
      </c>
      <c r="W10" s="122">
        <f t="shared" ref="W10:W15" si="10">U10+V10</f>
        <v>228.65709605157133</v>
      </c>
      <c r="X10" s="98">
        <f>VLOOKUP(F10,'Peajes Circular CNMC'!$B$13:$J$23,7,FALSE)</f>
        <v>0</v>
      </c>
      <c r="Y10" s="87">
        <f>VLOOKUP(F10,'Peajes Circular CNMC'!$B$13:$J$23,8,FALSE)</f>
        <v>221.929</v>
      </c>
      <c r="Z10" s="87">
        <f>VLOOKUP(F10,'Peajes Circular CNMC'!$B$13:$J$23,9,FALSE)</f>
        <v>14.445</v>
      </c>
      <c r="AA10" s="123">
        <f t="shared" ref="AA10:AA15" si="11">12*X10*D10</f>
        <v>0</v>
      </c>
      <c r="AB10" s="123">
        <f t="shared" ref="AB10:AB15" si="12">12*Y10</f>
        <v>2663.1480000000001</v>
      </c>
      <c r="AC10" s="123">
        <f t="shared" ref="AC10:AC15" si="13">Z10*B10</f>
        <v>6601.3649999999998</v>
      </c>
      <c r="AD10" s="122">
        <f t="shared" ref="AD10:AD15" si="14">AA10+AB10+AC10</f>
        <v>9264.512999999999</v>
      </c>
      <c r="AE10" s="124">
        <f>K10+M10+R10+W10+AD10</f>
        <v>10579.465302929089</v>
      </c>
      <c r="AF10" s="79">
        <f t="shared" ref="AF10:AF15" si="15">AE10/B10</f>
        <v>23.149814667240896</v>
      </c>
      <c r="AH10" s="96">
        <f>'Peajes Circular CNMC'!$H$42</f>
        <v>26.201279999999997</v>
      </c>
      <c r="AI10" s="88">
        <f>'Peajes Circular CNMC'!$I$42</f>
        <v>0.11939999999999999</v>
      </c>
      <c r="AJ10" s="123">
        <f t="shared" ref="AJ10:AJ15" si="16">12*AH10*D10</f>
        <v>463.13559877518128</v>
      </c>
      <c r="AK10" s="123">
        <f t="shared" ref="AK10:AK15" si="17">AI10*B10</f>
        <v>54.565799999999996</v>
      </c>
      <c r="AL10" s="122">
        <f t="shared" ref="AL10:AL15" si="18">AJ10+AK10</f>
        <v>517.70139877518125</v>
      </c>
      <c r="AM10" s="88">
        <f>'Peajes Circular CNMC'!$H$35</f>
        <v>0.26106499999999999</v>
      </c>
      <c r="AN10" s="122">
        <f t="shared" ref="AN10:AN15" si="19">B10*AM10</f>
        <v>119.30670499999999</v>
      </c>
      <c r="AO10" s="133">
        <f>'Peajes Actuales'!$U$30*$D$6*2</f>
        <v>1.5873015873015872</v>
      </c>
      <c r="AP10" s="122">
        <f t="shared" ref="AP10:AP15" si="20">AO10*B10</f>
        <v>725.39682539682531</v>
      </c>
      <c r="AQ10" s="124">
        <f>AL10+AN10+AP10</f>
        <v>1362.4049291720066</v>
      </c>
      <c r="AR10" s="79">
        <f t="shared" ref="AR10:AR15" si="21">AQ10/B10</f>
        <v>2.9811924051903866</v>
      </c>
      <c r="AT10" s="125">
        <f t="shared" ref="AT10:AT15" si="22">AE10-AQ10</f>
        <v>9217.0603737570818</v>
      </c>
      <c r="AU10" s="100">
        <f t="shared" ref="AU10:AU15" si="23">AT10/AE10</f>
        <v>0.87122175930811885</v>
      </c>
      <c r="AV10" s="192">
        <f>AF10-AR10</f>
        <v>20.168622262050508</v>
      </c>
    </row>
    <row r="11" spans="2:48">
      <c r="B11" s="105">
        <v>2234</v>
      </c>
      <c r="C11" s="112">
        <f>IF($C$5&lt;&gt;"Memoria CNMC",$C$5,IF(B11&gt;'Tipología Clientes'!$C$16,'Tipología Clientes'!$L$16,IF(B11&gt;'Tipología Clientes'!$C$15,'Tipología Clientes'!$L$15,IF(B11&gt;'Tipología Clientes'!$C$14,'Tipología Clientes'!$L$14,IF(B11&gt;'Tipología Clientes'!$C$13,'Tipología Clientes'!$L$13,IF(B11&gt;'Tipología Clientes'!$C$12,'Tipología Clientes'!$L$12,IF(B11&gt;'Tipología Clientes'!$C$11,'Tipología Clientes'!$L$11,IF(B11&gt;'Tipología Clientes'!$C$10,'Tipología Clientes'!$L$10,IF(B11&gt;'Tipología Clientes'!$C$9,'Tipología Clientes'!$L$9,IF(B11&gt;'Tipología Clientes'!$C$8,'Tipología Clientes'!$L$8,IF(B11&gt;'Tipología Clientes'!$C$7,'Tipología Clientes'!$L$7,'Tipología Clientes'!$L$6)))))))))))</f>
        <v>0.85</v>
      </c>
      <c r="D11" s="113">
        <f t="shared" si="0"/>
        <v>7.2006446414182115</v>
      </c>
      <c r="E11" s="76" t="s">
        <v>71</v>
      </c>
      <c r="F11" s="76" t="str">
        <f>IF(B11&gt;'Peajes Circular CNMC'!$C$23,'Peajes Circular CNMC'!$B$23,IF(B11&gt;'Peajes Circular CNMC'!$C$22,'Peajes Circular CNMC'!$B$22,IF(B11&gt;'Peajes Circular CNMC'!$C$21,'Peajes Circular CNMC'!$B$21,IF(B11&gt;'Peajes Circular CNMC'!$C$20,'Peajes Circular CNMC'!$B$20,IF(B11&gt;'Peajes Circular CNMC'!$C$19,'Peajes Circular CNMC'!$B$19,IF(B11&gt;'Peajes Circular CNMC'!$C$18,'Peajes Circular CNMC'!$B$18,IF(B11&gt;'Peajes Circular CNMC'!$C$17,'Peajes Circular CNMC'!$B$17,IF(B11&gt;'Peajes Circular CNMC'!$C$16,'Peajes Circular CNMC'!$B$16,IF(B11&gt;'Peajes Circular CNMC'!$C$15,'Peajes Circular CNMC'!$B$15,IF(B11&gt;'Peajes Circular CNMC'!$C$14,'Peajes Circular CNMC'!$B$14,'Peajes Circular CNMC'!$B$13))))))))))</f>
        <v>D.6</v>
      </c>
      <c r="G11" s="96">
        <f>'Peajes Circular CNMC'!$H$30</f>
        <v>29.867609999999999</v>
      </c>
      <c r="H11" s="88">
        <f>'Peajes Circular CNMC'!$I$30</f>
        <v>0.15190999999999999</v>
      </c>
      <c r="I11" s="123">
        <f t="shared" si="1"/>
        <v>2580.7925507816276</v>
      </c>
      <c r="J11" s="123">
        <f t="shared" si="2"/>
        <v>339.36694</v>
      </c>
      <c r="K11" s="122">
        <f t="shared" si="3"/>
        <v>2920.1594907816275</v>
      </c>
      <c r="L11" s="88">
        <f>'Peajes Circular CNMC'!$H$35</f>
        <v>0.26106499999999999</v>
      </c>
      <c r="M11" s="122">
        <f t="shared" si="4"/>
        <v>583.21920999999998</v>
      </c>
      <c r="N11" s="97">
        <f>'Peajes Circular CNMC'!$J$6</f>
        <v>20.326666666666664</v>
      </c>
      <c r="O11" s="97">
        <f>'Peajes Circular CNMC'!$J$7</f>
        <v>2.2599999999999999E-2</v>
      </c>
      <c r="P11" s="123">
        <f t="shared" si="5"/>
        <v>1756.3812409347299</v>
      </c>
      <c r="Q11" s="123">
        <f t="shared" si="6"/>
        <v>50.488399999999999</v>
      </c>
      <c r="R11" s="122">
        <f t="shared" si="7"/>
        <v>1806.8696409347299</v>
      </c>
      <c r="S11" s="97">
        <f>'Peajes Circular CNMC'!$K$6</f>
        <v>12.351666666666667</v>
      </c>
      <c r="T11" s="97">
        <f>'Peajes Circular CNMC'!$K$7</f>
        <v>2.2599999999999999E-2</v>
      </c>
      <c r="U11" s="123">
        <f t="shared" si="8"/>
        <v>1067.2795487510073</v>
      </c>
      <c r="V11" s="123">
        <f t="shared" si="9"/>
        <v>50.488399999999999</v>
      </c>
      <c r="W11" s="122">
        <f t="shared" si="10"/>
        <v>1117.7679487510072</v>
      </c>
      <c r="X11" s="98">
        <f>VLOOKUP(F11,'Peajes Circular CNMC'!$B$13:$J$23,7,FALSE)</f>
        <v>0</v>
      </c>
      <c r="Y11" s="87">
        <f>VLOOKUP(F11,'Peajes Circular CNMC'!$B$13:$J$23,8,FALSE)</f>
        <v>1110.8520000000001</v>
      </c>
      <c r="Z11" s="87">
        <f>VLOOKUP(F11,'Peajes Circular CNMC'!$B$13:$J$23,9,FALSE)</f>
        <v>8.702</v>
      </c>
      <c r="AA11" s="123">
        <f t="shared" si="11"/>
        <v>0</v>
      </c>
      <c r="AB11" s="123">
        <f t="shared" si="12"/>
        <v>13330.224000000002</v>
      </c>
      <c r="AC11" s="123">
        <f t="shared" si="13"/>
        <v>19440.268</v>
      </c>
      <c r="AD11" s="122">
        <f t="shared" si="14"/>
        <v>32770.491999999998</v>
      </c>
      <c r="AE11" s="124">
        <f t="shared" ref="AE11:AE15" si="24">K11+M11+R11+W11+AD11</f>
        <v>39198.508290467362</v>
      </c>
      <c r="AF11" s="79">
        <f t="shared" si="15"/>
        <v>17.546333164936151</v>
      </c>
      <c r="AH11" s="96">
        <f>'Peajes Circular CNMC'!$H$42</f>
        <v>26.201279999999997</v>
      </c>
      <c r="AI11" s="88">
        <f>'Peajes Circular CNMC'!$I$42</f>
        <v>0.11939999999999999</v>
      </c>
      <c r="AJ11" s="123">
        <f t="shared" si="16"/>
        <v>2263.9932771635777</v>
      </c>
      <c r="AK11" s="123">
        <f t="shared" si="17"/>
        <v>266.7396</v>
      </c>
      <c r="AL11" s="122">
        <f t="shared" si="18"/>
        <v>2530.7328771635775</v>
      </c>
      <c r="AM11" s="88">
        <f>'Peajes Circular CNMC'!$H$35</f>
        <v>0.26106499999999999</v>
      </c>
      <c r="AN11" s="122">
        <f t="shared" si="19"/>
        <v>583.21920999999998</v>
      </c>
      <c r="AO11" s="133">
        <f>'Peajes Actuales'!$U$30*$D$6*2</f>
        <v>1.5873015873015872</v>
      </c>
      <c r="AP11" s="122">
        <f t="shared" si="20"/>
        <v>3546.031746031746</v>
      </c>
      <c r="AQ11" s="124">
        <f t="shared" ref="AQ11:AQ15" si="25">AL11+AN11+AP11</f>
        <v>6659.9838331953233</v>
      </c>
      <c r="AR11" s="79">
        <f t="shared" si="21"/>
        <v>2.9811924051903866</v>
      </c>
      <c r="AT11" s="125">
        <f t="shared" si="22"/>
        <v>32538.52445727204</v>
      </c>
      <c r="AU11" s="100">
        <f t="shared" si="23"/>
        <v>0.83009598773902948</v>
      </c>
      <c r="AV11" s="192">
        <f t="shared" ref="AV11:AV15" si="26">AF11-AR11</f>
        <v>14.565140759745764</v>
      </c>
    </row>
    <row r="12" spans="2:48">
      <c r="B12" s="105">
        <v>12157</v>
      </c>
      <c r="C12" s="112">
        <f>IF($C$5&lt;&gt;"Memoria CNMC",$C$5,IF(B12&gt;'Tipología Clientes'!$C$16,'Tipología Clientes'!$L$16,IF(B12&gt;'Tipología Clientes'!$C$15,'Tipología Clientes'!$L$15,IF(B12&gt;'Tipología Clientes'!$C$14,'Tipología Clientes'!$L$14,IF(B12&gt;'Tipología Clientes'!$C$13,'Tipología Clientes'!$L$13,IF(B12&gt;'Tipología Clientes'!$C$12,'Tipología Clientes'!$L$12,IF(B12&gt;'Tipología Clientes'!$C$11,'Tipología Clientes'!$L$11,IF(B12&gt;'Tipología Clientes'!$C$10,'Tipología Clientes'!$L$10,IF(B12&gt;'Tipología Clientes'!$C$9,'Tipología Clientes'!$L$9,IF(B12&gt;'Tipología Clientes'!$C$8,'Tipología Clientes'!$L$8,IF(B12&gt;'Tipología Clientes'!$C$7,'Tipología Clientes'!$L$7,'Tipología Clientes'!$L$6)))))))))))</f>
        <v>0.85</v>
      </c>
      <c r="D12" s="113">
        <f t="shared" si="0"/>
        <v>39.184528605962932</v>
      </c>
      <c r="E12" s="76" t="s">
        <v>72</v>
      </c>
      <c r="F12" s="76" t="str">
        <f>IF(B12&gt;'Peajes Circular CNMC'!$C$23,'Peajes Circular CNMC'!$B$23,IF(B12&gt;'Peajes Circular CNMC'!$C$22,'Peajes Circular CNMC'!$B$22,IF(B12&gt;'Peajes Circular CNMC'!$C$21,'Peajes Circular CNMC'!$B$21,IF(B12&gt;'Peajes Circular CNMC'!$C$20,'Peajes Circular CNMC'!$B$20,IF(B12&gt;'Peajes Circular CNMC'!$C$19,'Peajes Circular CNMC'!$B$19,IF(B12&gt;'Peajes Circular CNMC'!$C$18,'Peajes Circular CNMC'!$B$18,IF(B12&gt;'Peajes Circular CNMC'!$C$17,'Peajes Circular CNMC'!$B$17,IF(B12&gt;'Peajes Circular CNMC'!$C$16,'Peajes Circular CNMC'!$B$16,IF(B12&gt;'Peajes Circular CNMC'!$C$15,'Peajes Circular CNMC'!$B$15,IF(B12&gt;'Peajes Circular CNMC'!$C$14,'Peajes Circular CNMC'!$B$14,'Peajes Circular CNMC'!$B$13))))))))))</f>
        <v>D.7</v>
      </c>
      <c r="G12" s="96">
        <f>'Peajes Circular CNMC'!$H$30</f>
        <v>29.867609999999999</v>
      </c>
      <c r="H12" s="88">
        <f>'Peajes Circular CNMC'!$I$30</f>
        <v>0.15190999999999999</v>
      </c>
      <c r="I12" s="123">
        <f t="shared" si="1"/>
        <v>14044.178621240933</v>
      </c>
      <c r="J12" s="123">
        <f t="shared" si="2"/>
        <v>1846.7698699999999</v>
      </c>
      <c r="K12" s="122">
        <f t="shared" si="3"/>
        <v>15890.948491240933</v>
      </c>
      <c r="L12" s="88">
        <f>'Peajes Circular CNMC'!$H$35</f>
        <v>0.26106499999999999</v>
      </c>
      <c r="M12" s="122">
        <f t="shared" si="4"/>
        <v>3173.7672050000001</v>
      </c>
      <c r="N12" s="97">
        <f>'Peajes Circular CNMC'!$J$6</f>
        <v>20.326666666666664</v>
      </c>
      <c r="O12" s="97">
        <f>'Peajes Circular CNMC'!$J$7</f>
        <v>2.2599999999999999E-2</v>
      </c>
      <c r="P12" s="123">
        <f t="shared" si="5"/>
        <v>9557.8902175664771</v>
      </c>
      <c r="Q12" s="123">
        <f t="shared" si="6"/>
        <v>274.7482</v>
      </c>
      <c r="R12" s="122">
        <f t="shared" si="7"/>
        <v>9832.6384175664771</v>
      </c>
      <c r="S12" s="97">
        <f>'Peajes Circular CNMC'!$K$6</f>
        <v>12.351666666666667</v>
      </c>
      <c r="T12" s="97">
        <f>'Peajes Circular CNMC'!$K$7</f>
        <v>2.2599999999999999E-2</v>
      </c>
      <c r="U12" s="123">
        <f t="shared" si="8"/>
        <v>5807.9308299758259</v>
      </c>
      <c r="V12" s="123">
        <f t="shared" si="9"/>
        <v>274.7482</v>
      </c>
      <c r="W12" s="122">
        <f t="shared" si="10"/>
        <v>6082.6790299758259</v>
      </c>
      <c r="X12" s="98">
        <f>VLOOKUP(F12,'Peajes Circular CNMC'!$B$13:$J$23,7,FALSE)</f>
        <v>86.737500000000011</v>
      </c>
      <c r="Y12" s="87">
        <f>VLOOKUP(F12,'Peajes Circular CNMC'!$B$13:$J$23,8,FALSE)</f>
        <v>0</v>
      </c>
      <c r="Z12" s="87">
        <f>VLOOKUP(F12,'Peajes Circular CNMC'!$B$13:$J$23,9,FALSE)</f>
        <v>1.0900000000000001</v>
      </c>
      <c r="AA12" s="123">
        <f t="shared" si="11"/>
        <v>40785.21659951652</v>
      </c>
      <c r="AB12" s="123">
        <f t="shared" si="12"/>
        <v>0</v>
      </c>
      <c r="AC12" s="123">
        <f t="shared" si="13"/>
        <v>13251.130000000001</v>
      </c>
      <c r="AD12" s="122">
        <f t="shared" si="14"/>
        <v>54036.346599516517</v>
      </c>
      <c r="AE12" s="124">
        <f t="shared" si="24"/>
        <v>89016.379743299767</v>
      </c>
      <c r="AF12" s="79">
        <f t="shared" si="15"/>
        <v>7.3222324375503636</v>
      </c>
      <c r="AH12" s="96">
        <f>'Peajes Circular CNMC'!$H$42</f>
        <v>26.201279999999997</v>
      </c>
      <c r="AI12" s="88">
        <f>'Peajes Circular CNMC'!$I$42</f>
        <v>0.11939999999999999</v>
      </c>
      <c r="AJ12" s="123">
        <f t="shared" si="16"/>
        <v>12320.217668074132</v>
      </c>
      <c r="AK12" s="123">
        <f t="shared" si="17"/>
        <v>1451.5457999999999</v>
      </c>
      <c r="AL12" s="122">
        <f t="shared" si="18"/>
        <v>13771.763468074132</v>
      </c>
      <c r="AM12" s="88">
        <f>'Peajes Circular CNMC'!$H$35</f>
        <v>0.26106499999999999</v>
      </c>
      <c r="AN12" s="122">
        <f t="shared" si="19"/>
        <v>3173.7672050000001</v>
      </c>
      <c r="AO12" s="133">
        <f>'Peajes Actuales'!$U$30*$D$6*2</f>
        <v>1.5873015873015872</v>
      </c>
      <c r="AP12" s="122">
        <f t="shared" si="20"/>
        <v>19296.825396825396</v>
      </c>
      <c r="AQ12" s="124">
        <f t="shared" si="25"/>
        <v>36242.356069899528</v>
      </c>
      <c r="AR12" s="79">
        <f t="shared" si="21"/>
        <v>2.9811924051903866</v>
      </c>
      <c r="AT12" s="125">
        <f t="shared" si="22"/>
        <v>52774.023673400239</v>
      </c>
      <c r="AU12" s="100">
        <f t="shared" si="23"/>
        <v>0.59285744742245061</v>
      </c>
      <c r="AV12" s="192">
        <f t="shared" si="26"/>
        <v>4.3410400323599774</v>
      </c>
    </row>
    <row r="13" spans="2:48">
      <c r="B13" s="105">
        <v>49046</v>
      </c>
      <c r="C13" s="112">
        <f>IF($C$5&lt;&gt;"Memoria CNMC",$C$5,IF(B13&gt;'Tipología Clientes'!$C$16,'Tipología Clientes'!$L$16,IF(B13&gt;'Tipología Clientes'!$C$15,'Tipología Clientes'!$L$15,IF(B13&gt;'Tipología Clientes'!$C$14,'Tipología Clientes'!$L$14,IF(B13&gt;'Tipología Clientes'!$C$13,'Tipología Clientes'!$L$13,IF(B13&gt;'Tipología Clientes'!$C$12,'Tipología Clientes'!$L$12,IF(B13&gt;'Tipología Clientes'!$C$11,'Tipología Clientes'!$L$11,IF(B13&gt;'Tipología Clientes'!$C$10,'Tipología Clientes'!$L$10,IF(B13&gt;'Tipología Clientes'!$C$9,'Tipología Clientes'!$L$9,IF(B13&gt;'Tipología Clientes'!$C$8,'Tipología Clientes'!$L$8,IF(B13&gt;'Tipología Clientes'!$C$7,'Tipología Clientes'!$L$7,'Tipología Clientes'!$L$6)))))))))))</f>
        <v>0.85</v>
      </c>
      <c r="D13" s="113">
        <f t="shared" si="0"/>
        <v>158.085414987913</v>
      </c>
      <c r="E13" s="76" t="s">
        <v>73</v>
      </c>
      <c r="F13" s="76" t="str">
        <f>IF(B13&gt;'Peajes Circular CNMC'!$C$23,'Peajes Circular CNMC'!$B$23,IF(B13&gt;'Peajes Circular CNMC'!$C$22,'Peajes Circular CNMC'!$B$22,IF(B13&gt;'Peajes Circular CNMC'!$C$21,'Peajes Circular CNMC'!$B$21,IF(B13&gt;'Peajes Circular CNMC'!$C$20,'Peajes Circular CNMC'!$B$20,IF(B13&gt;'Peajes Circular CNMC'!$C$19,'Peajes Circular CNMC'!$B$19,IF(B13&gt;'Peajes Circular CNMC'!$C$18,'Peajes Circular CNMC'!$B$18,IF(B13&gt;'Peajes Circular CNMC'!$C$17,'Peajes Circular CNMC'!$B$17,IF(B13&gt;'Peajes Circular CNMC'!$C$16,'Peajes Circular CNMC'!$B$16,IF(B13&gt;'Peajes Circular CNMC'!$C$15,'Peajes Circular CNMC'!$B$15,IF(B13&gt;'Peajes Circular CNMC'!$C$14,'Peajes Circular CNMC'!$B$14,'Peajes Circular CNMC'!$B$13))))))))))</f>
        <v>D.8</v>
      </c>
      <c r="G13" s="96">
        <f>'Peajes Circular CNMC'!$H$30</f>
        <v>29.867609999999999</v>
      </c>
      <c r="H13" s="88">
        <f>'Peajes Circular CNMC'!$I$30</f>
        <v>0.15190999999999999</v>
      </c>
      <c r="I13" s="123">
        <f t="shared" si="1"/>
        <v>56659.602258565683</v>
      </c>
      <c r="J13" s="123">
        <f t="shared" si="2"/>
        <v>7450.5778599999994</v>
      </c>
      <c r="K13" s="122">
        <f t="shared" si="3"/>
        <v>64110.18011856568</v>
      </c>
      <c r="L13" s="88">
        <f>'Peajes Circular CNMC'!$H$35</f>
        <v>0.26106499999999999</v>
      </c>
      <c r="M13" s="122">
        <f t="shared" si="4"/>
        <v>12804.19399</v>
      </c>
      <c r="N13" s="97">
        <f>'Peajes Circular CNMC'!$J$6</f>
        <v>20.326666666666664</v>
      </c>
      <c r="O13" s="97">
        <f>'Peajes Circular CNMC'!$J$7</f>
        <v>2.2599999999999999E-2</v>
      </c>
      <c r="P13" s="123">
        <f t="shared" si="5"/>
        <v>38560.194423851732</v>
      </c>
      <c r="Q13" s="123">
        <f t="shared" si="6"/>
        <v>1108.4395999999999</v>
      </c>
      <c r="R13" s="122">
        <f t="shared" si="7"/>
        <v>39668.63402385173</v>
      </c>
      <c r="S13" s="97">
        <f>'Peajes Circular CNMC'!$K$6</f>
        <v>12.351666666666667</v>
      </c>
      <c r="T13" s="97">
        <f>'Peajes Circular CNMC'!$K$7</f>
        <v>2.2599999999999999E-2</v>
      </c>
      <c r="U13" s="123">
        <f t="shared" si="8"/>
        <v>23431.420209508466</v>
      </c>
      <c r="V13" s="123">
        <f t="shared" si="9"/>
        <v>1108.4395999999999</v>
      </c>
      <c r="W13" s="122">
        <f t="shared" si="10"/>
        <v>24539.859809508467</v>
      </c>
      <c r="X13" s="98">
        <f>VLOOKUP(F13,'Peajes Circular CNMC'!$B$13:$J$23,7,FALSE)</f>
        <v>42.213333333333331</v>
      </c>
      <c r="Y13" s="87">
        <f>VLOOKUP(F13,'Peajes Circular CNMC'!$B$13:$J$23,8,FALSE)</f>
        <v>0</v>
      </c>
      <c r="Z13" s="87">
        <f>VLOOKUP(F13,'Peajes Circular CNMC'!$B$13:$J$23,9,FALSE)</f>
        <v>0.70599999999999996</v>
      </c>
      <c r="AA13" s="123">
        <f t="shared" si="11"/>
        <v>80079.747816277202</v>
      </c>
      <c r="AB13" s="123">
        <f t="shared" si="12"/>
        <v>0</v>
      </c>
      <c r="AC13" s="123">
        <f t="shared" si="13"/>
        <v>34626.475999999995</v>
      </c>
      <c r="AD13" s="122">
        <f t="shared" si="14"/>
        <v>114706.2238162772</v>
      </c>
      <c r="AE13" s="124">
        <f t="shared" si="24"/>
        <v>255829.09175820308</v>
      </c>
      <c r="AF13" s="79">
        <f t="shared" si="15"/>
        <v>5.2161051208702665</v>
      </c>
      <c r="AH13" s="96">
        <f>'Peajes Circular CNMC'!$H$42</f>
        <v>26.201279999999997</v>
      </c>
      <c r="AI13" s="88">
        <f>'Peajes Circular CNMC'!$I$42</f>
        <v>0.11939999999999999</v>
      </c>
      <c r="AJ13" s="123">
        <f t="shared" si="16"/>
        <v>49704.482664174058</v>
      </c>
      <c r="AK13" s="123">
        <f t="shared" si="17"/>
        <v>5856.0923999999995</v>
      </c>
      <c r="AL13" s="122">
        <f t="shared" si="18"/>
        <v>55560.57506417406</v>
      </c>
      <c r="AM13" s="88">
        <f>'Peajes Circular CNMC'!$H$35</f>
        <v>0.26106499999999999</v>
      </c>
      <c r="AN13" s="122">
        <f t="shared" si="19"/>
        <v>12804.19399</v>
      </c>
      <c r="AO13" s="133">
        <f>'Peajes Actuales'!$U$30*$D$6*2</f>
        <v>1.5873015873015872</v>
      </c>
      <c r="AP13" s="122">
        <f t="shared" si="20"/>
        <v>77850.793650793639</v>
      </c>
      <c r="AQ13" s="124">
        <f t="shared" si="25"/>
        <v>146215.56270496768</v>
      </c>
      <c r="AR13" s="79">
        <f t="shared" si="21"/>
        <v>2.9811924051903862</v>
      </c>
      <c r="AT13" s="125">
        <f t="shared" si="22"/>
        <v>109613.5290532354</v>
      </c>
      <c r="AU13" s="100">
        <f t="shared" si="23"/>
        <v>0.42846389478189856</v>
      </c>
      <c r="AV13" s="192">
        <f t="shared" si="26"/>
        <v>2.2349127156798803</v>
      </c>
    </row>
    <row r="14" spans="2:48">
      <c r="B14" s="105">
        <v>206507</v>
      </c>
      <c r="C14" s="112">
        <f>IF($C$5&lt;&gt;"Memoria CNMC",$C$5,IF(B14&gt;'Tipología Clientes'!$C$16,'Tipología Clientes'!$L$16,IF(B14&gt;'Tipología Clientes'!$C$15,'Tipología Clientes'!$L$15,IF(B14&gt;'Tipología Clientes'!$C$14,'Tipología Clientes'!$L$14,IF(B14&gt;'Tipología Clientes'!$C$13,'Tipología Clientes'!$L$13,IF(B14&gt;'Tipología Clientes'!$C$12,'Tipología Clientes'!$L$12,IF(B14&gt;'Tipología Clientes'!$C$11,'Tipología Clientes'!$L$11,IF(B14&gt;'Tipología Clientes'!$C$10,'Tipología Clientes'!$L$10,IF(B14&gt;'Tipología Clientes'!$C$9,'Tipología Clientes'!$L$9,IF(B14&gt;'Tipología Clientes'!$C$8,'Tipología Clientes'!$L$8,IF(B14&gt;'Tipología Clientes'!$C$7,'Tipología Clientes'!$L$7,'Tipología Clientes'!$L$6)))))))))))</f>
        <v>0.85</v>
      </c>
      <c r="D14" s="113">
        <f t="shared" si="0"/>
        <v>665.61482675261891</v>
      </c>
      <c r="E14" s="76" t="s">
        <v>74</v>
      </c>
      <c r="F14" s="76" t="str">
        <f>IF(B14&gt;'Peajes Circular CNMC'!$C$23,'Peajes Circular CNMC'!$B$23,IF(B14&gt;'Peajes Circular CNMC'!$C$22,'Peajes Circular CNMC'!$B$22,IF(B14&gt;'Peajes Circular CNMC'!$C$21,'Peajes Circular CNMC'!$B$21,IF(B14&gt;'Peajes Circular CNMC'!$C$20,'Peajes Circular CNMC'!$B$20,IF(B14&gt;'Peajes Circular CNMC'!$C$19,'Peajes Circular CNMC'!$B$19,IF(B14&gt;'Peajes Circular CNMC'!$C$18,'Peajes Circular CNMC'!$B$18,IF(B14&gt;'Peajes Circular CNMC'!$C$17,'Peajes Circular CNMC'!$B$17,IF(B14&gt;'Peajes Circular CNMC'!$C$16,'Peajes Circular CNMC'!$B$16,IF(B14&gt;'Peajes Circular CNMC'!$C$15,'Peajes Circular CNMC'!$B$15,IF(B14&gt;'Peajes Circular CNMC'!$C$14,'Peajes Circular CNMC'!$B$14,'Peajes Circular CNMC'!$B$13))))))))))</f>
        <v>D.10</v>
      </c>
      <c r="G14" s="96">
        <f>'Peajes Circular CNMC'!$H$30</f>
        <v>29.867609999999999</v>
      </c>
      <c r="H14" s="88">
        <f>'Peajes Circular CNMC'!$I$30</f>
        <v>0.15190999999999999</v>
      </c>
      <c r="I14" s="123">
        <f t="shared" si="1"/>
        <v>238563.88866797744</v>
      </c>
      <c r="J14" s="123">
        <f t="shared" si="2"/>
        <v>31370.478369999997</v>
      </c>
      <c r="K14" s="122">
        <f t="shared" si="3"/>
        <v>269934.36703797744</v>
      </c>
      <c r="L14" s="88">
        <f>'Peajes Circular CNMC'!$H$35</f>
        <v>0.26106499999999999</v>
      </c>
      <c r="M14" s="122">
        <f t="shared" si="4"/>
        <v>53911.749954999999</v>
      </c>
      <c r="N14" s="97">
        <f>'Peajes Circular CNMC'!$J$6</f>
        <v>20.326666666666664</v>
      </c>
      <c r="O14" s="97">
        <f>'Peajes Circular CNMC'!$J$7</f>
        <v>2.2599999999999999E-2</v>
      </c>
      <c r="P14" s="123">
        <f t="shared" si="5"/>
        <v>162356.76854149878</v>
      </c>
      <c r="Q14" s="123">
        <f t="shared" si="6"/>
        <v>4667.0581999999995</v>
      </c>
      <c r="R14" s="122">
        <f t="shared" si="7"/>
        <v>167023.82674149878</v>
      </c>
      <c r="S14" s="97">
        <f>'Peajes Circular CNMC'!$K$6</f>
        <v>12.351666666666667</v>
      </c>
      <c r="T14" s="97">
        <f>'Peajes Circular CNMC'!$K$7</f>
        <v>2.2599999999999999E-2</v>
      </c>
      <c r="U14" s="123">
        <f t="shared" si="8"/>
        <v>98657.429621273172</v>
      </c>
      <c r="V14" s="123">
        <f t="shared" si="9"/>
        <v>4667.0581999999995</v>
      </c>
      <c r="W14" s="122">
        <f t="shared" si="10"/>
        <v>103324.48782127317</v>
      </c>
      <c r="X14" s="98">
        <f>VLOOKUP(F14,'Peajes Circular CNMC'!$B$13:$J$23,7,FALSE)</f>
        <v>13.934166666666668</v>
      </c>
      <c r="Y14" s="87">
        <f>VLOOKUP(F14,'Peajes Circular CNMC'!$B$13:$J$23,8,FALSE)</f>
        <v>0</v>
      </c>
      <c r="Z14" s="87">
        <f>VLOOKUP(F14,'Peajes Circular CNMC'!$B$13:$J$23,9,FALSE)</f>
        <v>0.38700000000000001</v>
      </c>
      <c r="AA14" s="123">
        <f t="shared" si="11"/>
        <v>111297.45518130541</v>
      </c>
      <c r="AB14" s="123">
        <f t="shared" si="12"/>
        <v>0</v>
      </c>
      <c r="AC14" s="123">
        <f t="shared" si="13"/>
        <v>79918.209000000003</v>
      </c>
      <c r="AD14" s="122">
        <f t="shared" si="14"/>
        <v>191215.66418130542</v>
      </c>
      <c r="AE14" s="124">
        <f t="shared" si="24"/>
        <v>785410.09573705483</v>
      </c>
      <c r="AF14" s="79">
        <f t="shared" si="15"/>
        <v>3.8033097945205481</v>
      </c>
      <c r="AH14" s="96">
        <f>'Peajes Circular CNMC'!$H$42</f>
        <v>26.201279999999997</v>
      </c>
      <c r="AI14" s="88">
        <f>'Peajes Circular CNMC'!$I$42</f>
        <v>0.11939999999999999</v>
      </c>
      <c r="AJ14" s="123">
        <f t="shared" si="16"/>
        <v>209279.52537476228</v>
      </c>
      <c r="AK14" s="123">
        <f t="shared" si="17"/>
        <v>24656.935799999999</v>
      </c>
      <c r="AL14" s="122">
        <f t="shared" si="18"/>
        <v>233936.46117476228</v>
      </c>
      <c r="AM14" s="88">
        <f>'Peajes Circular CNMC'!$H$35</f>
        <v>0.26106499999999999</v>
      </c>
      <c r="AN14" s="122">
        <f t="shared" si="19"/>
        <v>53911.749954999999</v>
      </c>
      <c r="AO14" s="133">
        <f>'Peajes Actuales'!$U$30*$D$6*2</f>
        <v>1.5873015873015872</v>
      </c>
      <c r="AP14" s="122">
        <f t="shared" si="20"/>
        <v>327788.88888888888</v>
      </c>
      <c r="AQ14" s="124">
        <f t="shared" si="25"/>
        <v>615637.10001865122</v>
      </c>
      <c r="AR14" s="79">
        <f t="shared" si="21"/>
        <v>2.9811924051903871</v>
      </c>
      <c r="AT14" s="125">
        <f t="shared" si="22"/>
        <v>169772.9957184036</v>
      </c>
      <c r="AU14" s="100">
        <f t="shared" si="23"/>
        <v>0.21615840774122339</v>
      </c>
      <c r="AV14" s="192">
        <f t="shared" si="26"/>
        <v>0.82211738933016099</v>
      </c>
    </row>
    <row r="15" spans="2:48">
      <c r="B15" s="105">
        <v>1144703</v>
      </c>
      <c r="C15" s="112">
        <f>IF($C$5&lt;&gt;"Memoria CNMC",$C$5,IF(B15&gt;'Tipología Clientes'!$C$16,'Tipología Clientes'!$L$16,IF(B15&gt;'Tipología Clientes'!$C$15,'Tipología Clientes'!$L$15,IF(B15&gt;'Tipología Clientes'!$C$14,'Tipología Clientes'!$L$14,IF(B15&gt;'Tipología Clientes'!$C$13,'Tipología Clientes'!$L$13,IF(B15&gt;'Tipología Clientes'!$C$12,'Tipología Clientes'!$L$12,IF(B15&gt;'Tipología Clientes'!$C$11,'Tipología Clientes'!$L$11,IF(B15&gt;'Tipología Clientes'!$C$10,'Tipología Clientes'!$L$10,IF(B15&gt;'Tipología Clientes'!$C$9,'Tipología Clientes'!$L$9,IF(B15&gt;'Tipología Clientes'!$C$8,'Tipología Clientes'!$L$8,IF(B15&gt;'Tipología Clientes'!$C$7,'Tipología Clientes'!$L$7,'Tipología Clientes'!$L$6)))))))))))</f>
        <v>0.85</v>
      </c>
      <c r="D15" s="113">
        <f t="shared" si="0"/>
        <v>3689.6148267526191</v>
      </c>
      <c r="E15" s="76" t="s">
        <v>75</v>
      </c>
      <c r="F15" s="76" t="str">
        <f>IF(B15&gt;'Peajes Circular CNMC'!$C$23,'Peajes Circular CNMC'!$B$23,IF(B15&gt;'Peajes Circular CNMC'!$C$22,'Peajes Circular CNMC'!$B$22,IF(B15&gt;'Peajes Circular CNMC'!$C$21,'Peajes Circular CNMC'!$B$21,IF(B15&gt;'Peajes Circular CNMC'!$C$20,'Peajes Circular CNMC'!$B$20,IF(B15&gt;'Peajes Circular CNMC'!$C$19,'Peajes Circular CNMC'!$B$19,IF(B15&gt;'Peajes Circular CNMC'!$C$18,'Peajes Circular CNMC'!$B$18,IF(B15&gt;'Peajes Circular CNMC'!$C$17,'Peajes Circular CNMC'!$B$17,IF(B15&gt;'Peajes Circular CNMC'!$C$16,'Peajes Circular CNMC'!$B$16,IF(B15&gt;'Peajes Circular CNMC'!$C$15,'Peajes Circular CNMC'!$B$15,IF(B15&gt;'Peajes Circular CNMC'!$C$14,'Peajes Circular CNMC'!$B$14,'Peajes Circular CNMC'!$B$13))))))))))</f>
        <v>D.11</v>
      </c>
      <c r="G15" s="96">
        <f>'Peajes Circular CNMC'!$H$30</f>
        <v>29.867609999999999</v>
      </c>
      <c r="H15" s="88">
        <f>'Peajes Circular CNMC'!$I$30</f>
        <v>0.15190999999999999</v>
      </c>
      <c r="I15" s="123">
        <f t="shared" si="1"/>
        <v>1322399.7203479775</v>
      </c>
      <c r="J15" s="123">
        <f t="shared" si="2"/>
        <v>173891.83272999999</v>
      </c>
      <c r="K15" s="122">
        <f t="shared" si="3"/>
        <v>1496291.5530779774</v>
      </c>
      <c r="L15" s="88">
        <f>'Peajes Circular CNMC'!$H$35</f>
        <v>0.26106499999999999</v>
      </c>
      <c r="M15" s="122">
        <f t="shared" si="4"/>
        <v>298841.88869499997</v>
      </c>
      <c r="N15" s="97">
        <f>'Peajes Circular CNMC'!$J$6</f>
        <v>20.326666666666664</v>
      </c>
      <c r="O15" s="97">
        <f>'Peajes Circular CNMC'!$J$7</f>
        <v>2.2599999999999999E-2</v>
      </c>
      <c r="P15" s="123">
        <f t="shared" si="5"/>
        <v>899970.84854149877</v>
      </c>
      <c r="Q15" s="123">
        <f t="shared" si="6"/>
        <v>25870.287799999998</v>
      </c>
      <c r="R15" s="122">
        <f t="shared" si="7"/>
        <v>925841.13634149882</v>
      </c>
      <c r="S15" s="97">
        <f>'Peajes Circular CNMC'!$K$6</f>
        <v>12.351666666666667</v>
      </c>
      <c r="T15" s="97">
        <f>'Peajes Circular CNMC'!$K$7</f>
        <v>2.2599999999999999E-2</v>
      </c>
      <c r="U15" s="123">
        <f t="shared" si="8"/>
        <v>546874.70962127321</v>
      </c>
      <c r="V15" s="123">
        <f t="shared" si="9"/>
        <v>25870.287799999998</v>
      </c>
      <c r="W15" s="122">
        <f t="shared" si="10"/>
        <v>572744.99742127326</v>
      </c>
      <c r="X15" s="98">
        <f>VLOOKUP(F15,'Peajes Circular CNMC'!$B$13:$J$23,7,FALSE)</f>
        <v>9.9058333333333337</v>
      </c>
      <c r="Y15" s="87">
        <f>VLOOKUP(F15,'Peajes Circular CNMC'!$B$13:$J$23,8,FALSE)</f>
        <v>0</v>
      </c>
      <c r="Z15" s="87">
        <f>VLOOKUP(F15,'Peajes Circular CNMC'!$B$13:$J$23,9,FALSE)</f>
        <v>9.0999999999999998E-2</v>
      </c>
      <c r="AA15" s="123">
        <f t="shared" si="11"/>
        <v>438584.51445608388</v>
      </c>
      <c r="AB15" s="123">
        <f t="shared" si="12"/>
        <v>0</v>
      </c>
      <c r="AC15" s="123">
        <f t="shared" si="13"/>
        <v>104167.973</v>
      </c>
      <c r="AD15" s="122">
        <f t="shared" si="14"/>
        <v>542752.48745608388</v>
      </c>
      <c r="AE15" s="124">
        <f t="shared" si="24"/>
        <v>3836472.0629918328</v>
      </c>
      <c r="AF15" s="79">
        <f t="shared" si="15"/>
        <v>3.3514999637389198</v>
      </c>
      <c r="AH15" s="96">
        <f>'Peajes Circular CNMC'!$H$42</f>
        <v>26.201279999999997</v>
      </c>
      <c r="AI15" s="88">
        <f>'Peajes Circular CNMC'!$I$42</f>
        <v>0.11939999999999999</v>
      </c>
      <c r="AJ15" s="123">
        <f t="shared" si="16"/>
        <v>1160071.5740147622</v>
      </c>
      <c r="AK15" s="123">
        <f t="shared" si="17"/>
        <v>136677.53819999998</v>
      </c>
      <c r="AL15" s="122">
        <f t="shared" si="18"/>
        <v>1296749.1122147623</v>
      </c>
      <c r="AM15" s="88">
        <f>'Peajes Circular CNMC'!$H$35</f>
        <v>0.26106499999999999</v>
      </c>
      <c r="AN15" s="122">
        <f t="shared" si="19"/>
        <v>298841.88869499997</v>
      </c>
      <c r="AO15" s="133">
        <f>'Peajes Actuales'!$U$30*$D$6*2</f>
        <v>1.5873015873015872</v>
      </c>
      <c r="AP15" s="122">
        <f t="shared" si="20"/>
        <v>1816988.8888888888</v>
      </c>
      <c r="AQ15" s="124">
        <f t="shared" si="25"/>
        <v>3412579.889798651</v>
      </c>
      <c r="AR15" s="79">
        <f t="shared" si="21"/>
        <v>2.9811924051903866</v>
      </c>
      <c r="AT15" s="125">
        <f t="shared" si="22"/>
        <v>423892.17319318186</v>
      </c>
      <c r="AU15" s="100">
        <f t="shared" si="23"/>
        <v>0.1104900977338576</v>
      </c>
      <c r="AV15" s="192">
        <f t="shared" si="26"/>
        <v>0.37030755854853314</v>
      </c>
    </row>
    <row r="25" spans="14:14">
      <c r="N25" s="67" t="e">
        <f>I25/SUM($I$25:$I$29)</f>
        <v>#DIV/0!</v>
      </c>
    </row>
    <row r="29" spans="14:14">
      <c r="N29" s="67" t="e">
        <f>I29/SUM($I$25:$I$29)</f>
        <v>#DIV/0!</v>
      </c>
    </row>
  </sheetData>
  <mergeCells count="16">
    <mergeCell ref="AT8:AU8"/>
    <mergeCell ref="C5:D5"/>
    <mergeCell ref="G6:AF6"/>
    <mergeCell ref="AH6:AR6"/>
    <mergeCell ref="G7:K7"/>
    <mergeCell ref="L7:M7"/>
    <mergeCell ref="N7:R7"/>
    <mergeCell ref="S7:W7"/>
    <mergeCell ref="X7:AD7"/>
    <mergeCell ref="AE7:AF7"/>
    <mergeCell ref="AH7:AL7"/>
    <mergeCell ref="AM7:AN7"/>
    <mergeCell ref="AO7:AP7"/>
    <mergeCell ref="AQ7:AR7"/>
    <mergeCell ref="AE8:AF8"/>
    <mergeCell ref="AQ8:AR8"/>
  </mergeCells>
  <conditionalFormatting sqref="AT10:AU15">
    <cfRule type="cellIs" dxfId="3" priority="10" operator="greaterThan">
      <formula>0</formula>
    </cfRule>
  </conditionalFormatting>
  <conditionalFormatting sqref="AT10:AU15">
    <cfRule type="cellIs" dxfId="2" priority="8" operator="lessThan">
      <formula>0</formula>
    </cfRule>
  </conditionalFormatting>
  <conditionalFormatting sqref="AV10:AV15">
    <cfRule type="cellIs" dxfId="1" priority="2" operator="greaterThan">
      <formula>0</formula>
    </cfRule>
  </conditionalFormatting>
  <conditionalFormatting sqref="AV10:AV15">
    <cfRule type="cellIs" dxfId="0" priority="1" operator="lessThan">
      <formula>0</formula>
    </cfRule>
  </conditionalFormatting>
  <dataValidations disablePrompts="1" count="1">
    <dataValidation type="list" allowBlank="1" showInputMessage="1" showErrorMessage="1" sqref="C5">
      <mc:AlternateContent xmlns:x12ac="http://schemas.microsoft.com/office/spreadsheetml/2011/1/ac" xmlns:mc="http://schemas.openxmlformats.org/markup-compatibility/2006">
        <mc:Choice Requires="x12ac">
          <x12ac:list>Memoria CNMC,"0,80","0,85","0,90"</x12ac:list>
        </mc:Choice>
        <mc:Fallback>
          <formula1>"Memoria CNMC,0,80,0,85,0,90"</formula1>
        </mc:Fallback>
      </mc:AlternateContent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8" orientation="landscape" r:id="rId1"/>
  <headerFooter>
    <oddHeader>&amp;LANEXO I: CÁLCULOS DEL IMPACTO INICIAL DE LA NUEVA METODOLOGÍA DE PEAJES SOBRE LOS CLIENTES&amp;R&amp;A</oddHeader>
  </headerFooter>
  <drawing r:id="rId2"/>
  <legacy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O34"/>
  <sheetViews>
    <sheetView showGridLines="0" zoomScale="80" zoomScaleNormal="80" workbookViewId="0">
      <pane ySplit="4" topLeftCell="A35" activePane="bottomLeft" state="frozen"/>
      <selection pane="bottomLeft" activeCell="Z22" sqref="Z22"/>
    </sheetView>
  </sheetViews>
  <sheetFormatPr baseColWidth="10" defaultColWidth="11" defaultRowHeight="16.5" outlineLevelCol="1"/>
  <cols>
    <col min="1" max="1" width="2.140625" style="67" customWidth="1"/>
    <col min="2" max="2" width="12.42578125" style="66" customWidth="1"/>
    <col min="3" max="3" width="8.42578125" style="67" customWidth="1"/>
    <col min="4" max="4" width="13.42578125" style="67" customWidth="1" outlineLevel="1"/>
    <col min="5" max="5" width="10" style="67" customWidth="1" outlineLevel="1"/>
    <col min="6" max="6" width="11" style="67" customWidth="1" outlineLevel="1"/>
    <col min="7" max="7" width="12.5703125" style="67" customWidth="1" outlineLevel="1"/>
    <col min="8" max="8" width="12.85546875" style="67" customWidth="1"/>
    <col min="9" max="9" width="1.42578125" style="67" customWidth="1"/>
    <col min="10" max="10" width="9" style="67" customWidth="1"/>
    <col min="11" max="11" width="13.42578125" style="67" customWidth="1" outlineLevel="1"/>
    <col min="12" max="12" width="7.42578125" style="67" customWidth="1" outlineLevel="1"/>
    <col min="13" max="14" width="11.5703125" style="67" customWidth="1" outlineLevel="1"/>
    <col min="15" max="15" width="14.42578125" style="67" customWidth="1"/>
    <col min="16" max="25" width="11" style="67"/>
    <col min="26" max="27" width="11" style="67" customWidth="1"/>
    <col min="28" max="16384" width="11" style="67"/>
  </cols>
  <sheetData>
    <row r="2" spans="2:15">
      <c r="D2" s="254" t="s">
        <v>129</v>
      </c>
      <c r="E2" s="255"/>
      <c r="F2" s="255"/>
      <c r="G2" s="255"/>
      <c r="H2" s="256"/>
      <c r="K2" s="241" t="s">
        <v>130</v>
      </c>
      <c r="L2" s="241"/>
      <c r="M2" s="241"/>
      <c r="N2" s="241"/>
      <c r="O2" s="242"/>
    </row>
    <row r="3" spans="2:15">
      <c r="B3" s="68" t="s">
        <v>86</v>
      </c>
      <c r="D3" s="193" t="s">
        <v>50</v>
      </c>
      <c r="E3" s="82" t="s">
        <v>91</v>
      </c>
      <c r="F3" s="82" t="s">
        <v>50</v>
      </c>
      <c r="G3" s="82" t="s">
        <v>91</v>
      </c>
      <c r="H3" s="194" t="s">
        <v>92</v>
      </c>
      <c r="K3" s="91" t="s">
        <v>50</v>
      </c>
      <c r="L3" s="91" t="s">
        <v>91</v>
      </c>
      <c r="M3" s="91" t="s">
        <v>50</v>
      </c>
      <c r="N3" s="91" t="s">
        <v>91</v>
      </c>
      <c r="O3" s="195" t="s">
        <v>92</v>
      </c>
    </row>
    <row r="4" spans="2:15" s="74" customFormat="1">
      <c r="B4" s="71" t="s">
        <v>127</v>
      </c>
      <c r="C4" s="136" t="s">
        <v>89</v>
      </c>
      <c r="D4" s="73" t="s">
        <v>97</v>
      </c>
      <c r="E4" s="73" t="s">
        <v>128</v>
      </c>
      <c r="F4" s="73" t="s">
        <v>93</v>
      </c>
      <c r="G4" s="73" t="s">
        <v>93</v>
      </c>
      <c r="H4" s="73" t="s">
        <v>12</v>
      </c>
      <c r="J4" s="135" t="s">
        <v>89</v>
      </c>
      <c r="K4" s="73" t="s">
        <v>97</v>
      </c>
      <c r="L4" s="73" t="s">
        <v>128</v>
      </c>
      <c r="M4" s="73" t="s">
        <v>93</v>
      </c>
      <c r="N4" s="73" t="s">
        <v>93</v>
      </c>
      <c r="O4" s="73" t="s">
        <v>12</v>
      </c>
    </row>
    <row r="5" spans="2:15">
      <c r="B5" s="105">
        <v>2000</v>
      </c>
      <c r="C5" s="76" t="str">
        <f>IF(B5/1000&gt;'Peajes Actuales'!$C$14,'Peajes Actuales'!$B$14,IF(B5/1000&gt;'Peajes Actuales'!$C$13,'Peajes Actuales'!$B$13,IF(B5/1000&gt;'Peajes Actuales'!$C$12,'Peajes Actuales'!$B$12,'Peajes Actuales'!$B$11)))</f>
        <v>3.1</v>
      </c>
      <c r="D5" s="87">
        <f>VLOOKUP(C5,'Peajes Actuales'!$B$11:$J$14,8,FALSE)</f>
        <v>2.5299999999999998</v>
      </c>
      <c r="E5" s="90">
        <f>VLOOKUP(C5,'Peajes Actuales'!$B$11:$J$14,9,FALSE)/1000</f>
        <v>2.9287000000000001E-2</v>
      </c>
      <c r="F5" s="123">
        <f t="shared" ref="F5:F19" si="0">D5*12</f>
        <v>30.36</v>
      </c>
      <c r="G5" s="123">
        <f t="shared" ref="G5:G20" si="1">B5*E5</f>
        <v>58.573999999999998</v>
      </c>
      <c r="H5" s="122">
        <f t="shared" ref="H5:H34" si="2">SUM(F5:G5)/(B5/1000)</f>
        <v>44.466999999999999</v>
      </c>
      <c r="J5" s="76" t="str">
        <f>IF(B5/1000&gt;'Peajes Circular CNMC'!$C$23,'Peajes Circular CNMC'!$B$23,IF(B5/1000&gt;'Peajes Circular CNMC'!$C$22,'Peajes Circular CNMC'!$B$22,IF(B5/1000&gt;'Peajes Circular CNMC'!$C$21,'Peajes Circular CNMC'!$B$21,IF(B5/1000&gt;'Peajes Circular CNMC'!$C$20,'Peajes Circular CNMC'!$B$20,IF(B5/1000&gt;'Peajes Circular CNMC'!$C$19,'Peajes Circular CNMC'!$B$19,IF(B5/1000&gt;'Peajes Circular CNMC'!$C$18,'Peajes Circular CNMC'!$B$18,IF(B5/1000&gt;'Peajes Circular CNMC'!$C$17,'Peajes Circular CNMC'!$B$17,IF(B5/1000&gt;'Peajes Circular CNMC'!$C$16,'Peajes Circular CNMC'!$B$16,IF(B5/1000&gt;'Peajes Circular CNMC'!$C$15,'Peajes Circular CNMC'!$B$15,IF(B5/1000&gt;'Peajes Circular CNMC'!$C$14,'Peajes Circular CNMC'!$B$14,'Peajes Circular CNMC'!$B$13))))))))))</f>
        <v>D.1</v>
      </c>
      <c r="K5" s="87">
        <f>VLOOKUP(J5,'Peajes Circular CNMC'!$B$13:$J$23,8,FALSE)</f>
        <v>0.51300000000000001</v>
      </c>
      <c r="L5" s="87">
        <f>VLOOKUP(J5,'Peajes Circular CNMC'!$B$13:$J$23,9,FALSE)/1000</f>
        <v>1.5609999999999999E-2</v>
      </c>
      <c r="M5" s="123">
        <f t="shared" ref="M5:M20" si="3">12*K5</f>
        <v>6.1560000000000006</v>
      </c>
      <c r="N5" s="123">
        <f t="shared" ref="N5:N20" si="4">L5*B5</f>
        <v>31.22</v>
      </c>
      <c r="O5" s="122">
        <f t="shared" ref="O5:O34" si="5">SUM(M5:N5)/(B5/1000)</f>
        <v>18.687999999999999</v>
      </c>
    </row>
    <row r="6" spans="2:15">
      <c r="B6" s="105">
        <v>3000</v>
      </c>
      <c r="C6" s="76" t="str">
        <f>IF(B6/1000&gt;'Peajes Actuales'!$C$14,'Peajes Actuales'!$B$14,IF(B6/1000&gt;'Peajes Actuales'!$C$13,'Peajes Actuales'!$B$13,IF(B6/1000&gt;'Peajes Actuales'!$C$12,'Peajes Actuales'!$B$12,'Peajes Actuales'!$B$11)))</f>
        <v>3.1</v>
      </c>
      <c r="D6" s="87">
        <f>VLOOKUP(C6,'Peajes Actuales'!$B$11:$J$14,8,FALSE)</f>
        <v>2.5299999999999998</v>
      </c>
      <c r="E6" s="90">
        <f>VLOOKUP(C6,'Peajes Actuales'!$B$11:$J$14,9,FALSE)/1000</f>
        <v>2.9287000000000001E-2</v>
      </c>
      <c r="F6" s="123">
        <f t="shared" si="0"/>
        <v>30.36</v>
      </c>
      <c r="G6" s="123">
        <f t="shared" si="1"/>
        <v>87.861000000000004</v>
      </c>
      <c r="H6" s="122">
        <f t="shared" si="2"/>
        <v>39.407000000000004</v>
      </c>
      <c r="J6" s="76" t="str">
        <f>IF(B6/1000&gt;'Peajes Circular CNMC'!$C$23,'Peajes Circular CNMC'!$B$23,IF(B6/1000&gt;'Peajes Circular CNMC'!$C$22,'Peajes Circular CNMC'!$B$22,IF(B6/1000&gt;'Peajes Circular CNMC'!$C$21,'Peajes Circular CNMC'!$B$21,IF(B6/1000&gt;'Peajes Circular CNMC'!$C$20,'Peajes Circular CNMC'!$B$20,IF(B6/1000&gt;'Peajes Circular CNMC'!$C$19,'Peajes Circular CNMC'!$B$19,IF(B6/1000&gt;'Peajes Circular CNMC'!$C$18,'Peajes Circular CNMC'!$B$18,IF(B6/1000&gt;'Peajes Circular CNMC'!$C$17,'Peajes Circular CNMC'!$B$17,IF(B6/1000&gt;'Peajes Circular CNMC'!$C$16,'Peajes Circular CNMC'!$B$16,IF(B6/1000&gt;'Peajes Circular CNMC'!$C$15,'Peajes Circular CNMC'!$B$15,IF(B6/1000&gt;'Peajes Circular CNMC'!$C$14,'Peajes Circular CNMC'!$B$14,'Peajes Circular CNMC'!$B$13))))))))))</f>
        <v>D.1</v>
      </c>
      <c r="K6" s="87">
        <f>VLOOKUP(J6,'Peajes Circular CNMC'!$B$13:$J$23,8,FALSE)</f>
        <v>0.51300000000000001</v>
      </c>
      <c r="L6" s="87">
        <f>VLOOKUP(J6,'Peajes Circular CNMC'!$B$13:$J$23,9,FALSE)/1000</f>
        <v>1.5609999999999999E-2</v>
      </c>
      <c r="M6" s="123">
        <f t="shared" si="3"/>
        <v>6.1560000000000006</v>
      </c>
      <c r="N6" s="123">
        <f t="shared" si="4"/>
        <v>46.83</v>
      </c>
      <c r="O6" s="122">
        <f t="shared" si="5"/>
        <v>17.661999999999999</v>
      </c>
    </row>
    <row r="7" spans="2:15">
      <c r="B7" s="105">
        <v>3001</v>
      </c>
      <c r="C7" s="76" t="str">
        <f>IF(B7/1000&gt;'Peajes Actuales'!$C$14,'Peajes Actuales'!$B$14,IF(B7/1000&gt;'Peajes Actuales'!$C$13,'Peajes Actuales'!$B$13,IF(B7/1000&gt;'Peajes Actuales'!$C$12,'Peajes Actuales'!$B$12,'Peajes Actuales'!$B$11)))</f>
        <v>3.1</v>
      </c>
      <c r="D7" s="87">
        <f>VLOOKUP(C7,'Peajes Actuales'!$B$11:$J$14,8,FALSE)</f>
        <v>2.5299999999999998</v>
      </c>
      <c r="E7" s="90">
        <f>VLOOKUP(C7,'Peajes Actuales'!$B$11:$J$14,9,FALSE)/1000</f>
        <v>2.9287000000000001E-2</v>
      </c>
      <c r="F7" s="123">
        <f t="shared" si="0"/>
        <v>30.36</v>
      </c>
      <c r="G7" s="123">
        <f t="shared" si="1"/>
        <v>87.890287000000001</v>
      </c>
      <c r="H7" s="122">
        <f t="shared" si="2"/>
        <v>39.403627790736422</v>
      </c>
      <c r="J7" s="76" t="str">
        <f>IF(B7/1000&gt;'Peajes Circular CNMC'!$C$23,'Peajes Circular CNMC'!$B$23,IF(B7/1000&gt;'Peajes Circular CNMC'!$C$22,'Peajes Circular CNMC'!$B$22,IF(B7/1000&gt;'Peajes Circular CNMC'!$C$21,'Peajes Circular CNMC'!$B$21,IF(B7/1000&gt;'Peajes Circular CNMC'!$C$20,'Peajes Circular CNMC'!$B$20,IF(B7/1000&gt;'Peajes Circular CNMC'!$C$19,'Peajes Circular CNMC'!$B$19,IF(B7/1000&gt;'Peajes Circular CNMC'!$C$18,'Peajes Circular CNMC'!$B$18,IF(B7/1000&gt;'Peajes Circular CNMC'!$C$17,'Peajes Circular CNMC'!$B$17,IF(B7/1000&gt;'Peajes Circular CNMC'!$C$16,'Peajes Circular CNMC'!$B$16,IF(B7/1000&gt;'Peajes Circular CNMC'!$C$15,'Peajes Circular CNMC'!$B$15,IF(B7/1000&gt;'Peajes Circular CNMC'!$C$14,'Peajes Circular CNMC'!$B$14,'Peajes Circular CNMC'!$B$13))))))))))</f>
        <v>D.2</v>
      </c>
      <c r="K7" s="87">
        <f>VLOOKUP(J7,'Peajes Circular CNMC'!$B$13:$J$23,8,FALSE)</f>
        <v>2.6749999999999998</v>
      </c>
      <c r="L7" s="87">
        <f>VLOOKUP(J7,'Peajes Circular CNMC'!$B$13:$J$23,9,FALSE)/1000</f>
        <v>1.6985E-2</v>
      </c>
      <c r="M7" s="123">
        <f t="shared" si="3"/>
        <v>32.099999999999994</v>
      </c>
      <c r="N7" s="123">
        <f t="shared" si="4"/>
        <v>50.971985000000004</v>
      </c>
      <c r="O7" s="122">
        <f t="shared" si="5"/>
        <v>27.681434521826059</v>
      </c>
    </row>
    <row r="8" spans="2:15">
      <c r="B8" s="105">
        <v>6000</v>
      </c>
      <c r="C8" s="76" t="str">
        <f>IF(B8/1000&gt;'Peajes Actuales'!$C$14,'Peajes Actuales'!$B$14,IF(B8/1000&gt;'Peajes Actuales'!$C$13,'Peajes Actuales'!$B$13,IF(B8/1000&gt;'Peajes Actuales'!$C$12,'Peajes Actuales'!$B$12,'Peajes Actuales'!$B$11)))</f>
        <v>3.2</v>
      </c>
      <c r="D8" s="87">
        <f>VLOOKUP(C8,'Peajes Actuales'!$B$11:$J$14,8,FALSE)</f>
        <v>5.79</v>
      </c>
      <c r="E8" s="90">
        <f>VLOOKUP(C8,'Peajes Actuales'!$B$11:$J$14,9,FALSE)/1000</f>
        <v>2.2412999999999999E-2</v>
      </c>
      <c r="F8" s="123">
        <f t="shared" si="0"/>
        <v>69.48</v>
      </c>
      <c r="G8" s="123">
        <f t="shared" si="1"/>
        <v>134.47799999999998</v>
      </c>
      <c r="H8" s="122">
        <f t="shared" si="2"/>
        <v>33.992999999999995</v>
      </c>
      <c r="J8" s="76" t="str">
        <f>IF(B8/1000&gt;'Peajes Circular CNMC'!$C$23,'Peajes Circular CNMC'!$B$23,IF(B8/1000&gt;'Peajes Circular CNMC'!$C$22,'Peajes Circular CNMC'!$B$22,IF(B8/1000&gt;'Peajes Circular CNMC'!$C$21,'Peajes Circular CNMC'!$B$21,IF(B8/1000&gt;'Peajes Circular CNMC'!$C$20,'Peajes Circular CNMC'!$B$20,IF(B8/1000&gt;'Peajes Circular CNMC'!$C$19,'Peajes Circular CNMC'!$B$19,IF(B8/1000&gt;'Peajes Circular CNMC'!$C$18,'Peajes Circular CNMC'!$B$18,IF(B8/1000&gt;'Peajes Circular CNMC'!$C$17,'Peajes Circular CNMC'!$B$17,IF(B8/1000&gt;'Peajes Circular CNMC'!$C$16,'Peajes Circular CNMC'!$B$16,IF(B8/1000&gt;'Peajes Circular CNMC'!$C$15,'Peajes Circular CNMC'!$B$15,IF(B8/1000&gt;'Peajes Circular CNMC'!$C$14,'Peajes Circular CNMC'!$B$14,'Peajes Circular CNMC'!$B$13))))))))))</f>
        <v>D.2</v>
      </c>
      <c r="K8" s="87">
        <f>VLOOKUP(J8,'Peajes Circular CNMC'!$B$13:$J$23,8,FALSE)</f>
        <v>2.6749999999999998</v>
      </c>
      <c r="L8" s="87">
        <f>VLOOKUP(J8,'Peajes Circular CNMC'!$B$13:$J$23,9,FALSE)/1000</f>
        <v>1.6985E-2</v>
      </c>
      <c r="M8" s="123">
        <f t="shared" si="3"/>
        <v>32.099999999999994</v>
      </c>
      <c r="N8" s="123">
        <f t="shared" si="4"/>
        <v>101.91</v>
      </c>
      <c r="O8" s="122">
        <f t="shared" si="5"/>
        <v>22.334999999999997</v>
      </c>
    </row>
    <row r="9" spans="2:15">
      <c r="B9" s="105">
        <v>8000</v>
      </c>
      <c r="C9" s="76" t="str">
        <f>IF(B9/1000&gt;'Peajes Actuales'!$C$14,'Peajes Actuales'!$B$14,IF(B9/1000&gt;'Peajes Actuales'!$C$13,'Peajes Actuales'!$B$13,IF(B9/1000&gt;'Peajes Actuales'!$C$12,'Peajes Actuales'!$B$12,'Peajes Actuales'!$B$11)))</f>
        <v>3.2</v>
      </c>
      <c r="D9" s="87">
        <f>VLOOKUP(C9,'Peajes Actuales'!$B$11:$J$14,8,FALSE)</f>
        <v>5.79</v>
      </c>
      <c r="E9" s="90">
        <f>VLOOKUP(C9,'Peajes Actuales'!$B$11:$J$14,9,FALSE)/1000</f>
        <v>2.2412999999999999E-2</v>
      </c>
      <c r="F9" s="123">
        <f t="shared" si="0"/>
        <v>69.48</v>
      </c>
      <c r="G9" s="123">
        <f t="shared" si="1"/>
        <v>179.304</v>
      </c>
      <c r="H9" s="122">
        <f t="shared" si="2"/>
        <v>31.097999999999999</v>
      </c>
      <c r="J9" s="76" t="str">
        <f>IF(B9/1000&gt;'Peajes Circular CNMC'!$C$23,'Peajes Circular CNMC'!$B$23,IF(B9/1000&gt;'Peajes Circular CNMC'!$C$22,'Peajes Circular CNMC'!$B$22,IF(B9/1000&gt;'Peajes Circular CNMC'!$C$21,'Peajes Circular CNMC'!$B$21,IF(B9/1000&gt;'Peajes Circular CNMC'!$C$20,'Peajes Circular CNMC'!$B$20,IF(B9/1000&gt;'Peajes Circular CNMC'!$C$19,'Peajes Circular CNMC'!$B$19,IF(B9/1000&gt;'Peajes Circular CNMC'!$C$18,'Peajes Circular CNMC'!$B$18,IF(B9/1000&gt;'Peajes Circular CNMC'!$C$17,'Peajes Circular CNMC'!$B$17,IF(B9/1000&gt;'Peajes Circular CNMC'!$C$16,'Peajes Circular CNMC'!$B$16,IF(B9/1000&gt;'Peajes Circular CNMC'!$C$15,'Peajes Circular CNMC'!$B$15,IF(B9/1000&gt;'Peajes Circular CNMC'!$C$14,'Peajes Circular CNMC'!$B$14,'Peajes Circular CNMC'!$B$13))))))))))</f>
        <v>D.2</v>
      </c>
      <c r="K9" s="87">
        <f>VLOOKUP(J9,'Peajes Circular CNMC'!$B$13:$J$23,8,FALSE)</f>
        <v>2.6749999999999998</v>
      </c>
      <c r="L9" s="87">
        <f>VLOOKUP(J9,'Peajes Circular CNMC'!$B$13:$J$23,9,FALSE)/1000</f>
        <v>1.6985E-2</v>
      </c>
      <c r="M9" s="123">
        <f t="shared" si="3"/>
        <v>32.099999999999994</v>
      </c>
      <c r="N9" s="123">
        <f t="shared" si="4"/>
        <v>135.88</v>
      </c>
      <c r="O9" s="122">
        <f t="shared" si="5"/>
        <v>20.997499999999999</v>
      </c>
    </row>
    <row r="10" spans="2:15">
      <c r="B10" s="105">
        <v>10000</v>
      </c>
      <c r="C10" s="76" t="str">
        <f>IF(B10/1000&gt;'Peajes Actuales'!$C$14,'Peajes Actuales'!$B$14,IF(B10/1000&gt;'Peajes Actuales'!$C$13,'Peajes Actuales'!$B$13,IF(B10/1000&gt;'Peajes Actuales'!$C$12,'Peajes Actuales'!$B$12,'Peajes Actuales'!$B$11)))</f>
        <v>3.2</v>
      </c>
      <c r="D10" s="87">
        <f>VLOOKUP(C10,'Peajes Actuales'!$B$11:$J$14,8,FALSE)</f>
        <v>5.79</v>
      </c>
      <c r="E10" s="90">
        <f>VLOOKUP(C10,'Peajes Actuales'!$B$11:$J$14,9,FALSE)/1000</f>
        <v>2.2412999999999999E-2</v>
      </c>
      <c r="F10" s="123">
        <f t="shared" si="0"/>
        <v>69.48</v>
      </c>
      <c r="G10" s="123">
        <f t="shared" si="1"/>
        <v>224.13</v>
      </c>
      <c r="H10" s="122">
        <f t="shared" si="2"/>
        <v>29.361000000000001</v>
      </c>
      <c r="J10" s="76" t="str">
        <f>IF(B10/1000&gt;'Peajes Circular CNMC'!$C$23,'Peajes Circular CNMC'!$B$23,IF(B10/1000&gt;'Peajes Circular CNMC'!$C$22,'Peajes Circular CNMC'!$B$22,IF(B10/1000&gt;'Peajes Circular CNMC'!$C$21,'Peajes Circular CNMC'!$B$21,IF(B10/1000&gt;'Peajes Circular CNMC'!$C$20,'Peajes Circular CNMC'!$B$20,IF(B10/1000&gt;'Peajes Circular CNMC'!$C$19,'Peajes Circular CNMC'!$B$19,IF(B10/1000&gt;'Peajes Circular CNMC'!$C$18,'Peajes Circular CNMC'!$B$18,IF(B10/1000&gt;'Peajes Circular CNMC'!$C$17,'Peajes Circular CNMC'!$B$17,IF(B10/1000&gt;'Peajes Circular CNMC'!$C$16,'Peajes Circular CNMC'!$B$16,IF(B10/1000&gt;'Peajes Circular CNMC'!$C$15,'Peajes Circular CNMC'!$B$15,IF(B10/1000&gt;'Peajes Circular CNMC'!$C$14,'Peajes Circular CNMC'!$B$14,'Peajes Circular CNMC'!$B$13))))))))))</f>
        <v>D.2</v>
      </c>
      <c r="K10" s="87">
        <f>VLOOKUP(J10,'Peajes Circular CNMC'!$B$13:$J$23,8,FALSE)</f>
        <v>2.6749999999999998</v>
      </c>
      <c r="L10" s="87">
        <f>VLOOKUP(J10,'Peajes Circular CNMC'!$B$13:$J$23,9,FALSE)/1000</f>
        <v>1.6985E-2</v>
      </c>
      <c r="M10" s="123">
        <f t="shared" si="3"/>
        <v>32.099999999999994</v>
      </c>
      <c r="N10" s="123">
        <f t="shared" si="4"/>
        <v>169.85</v>
      </c>
      <c r="O10" s="122">
        <f t="shared" si="5"/>
        <v>20.195</v>
      </c>
    </row>
    <row r="11" spans="2:15">
      <c r="B11" s="105">
        <v>15000</v>
      </c>
      <c r="C11" s="76" t="str">
        <f>IF(B11/1000&gt;'Peajes Actuales'!$C$14,'Peajes Actuales'!$B$14,IF(B11/1000&gt;'Peajes Actuales'!$C$13,'Peajes Actuales'!$B$13,IF(B11/1000&gt;'Peajes Actuales'!$C$12,'Peajes Actuales'!$B$12,'Peajes Actuales'!$B$11)))</f>
        <v>3.2</v>
      </c>
      <c r="D11" s="87">
        <f>VLOOKUP(C11,'Peajes Actuales'!$B$11:$J$14,8,FALSE)</f>
        <v>5.79</v>
      </c>
      <c r="E11" s="90">
        <f>VLOOKUP(C11,'Peajes Actuales'!$B$11:$J$14,9,FALSE)/1000</f>
        <v>2.2412999999999999E-2</v>
      </c>
      <c r="F11" s="123">
        <f t="shared" si="0"/>
        <v>69.48</v>
      </c>
      <c r="G11" s="123">
        <f t="shared" si="1"/>
        <v>336.19499999999999</v>
      </c>
      <c r="H11" s="122">
        <f t="shared" si="2"/>
        <v>27.045000000000002</v>
      </c>
      <c r="J11" s="76" t="str">
        <f>IF(B11/1000&gt;'Peajes Circular CNMC'!$C$23,'Peajes Circular CNMC'!$B$23,IF(B11/1000&gt;'Peajes Circular CNMC'!$C$22,'Peajes Circular CNMC'!$B$22,IF(B11/1000&gt;'Peajes Circular CNMC'!$C$21,'Peajes Circular CNMC'!$B$21,IF(B11/1000&gt;'Peajes Circular CNMC'!$C$20,'Peajes Circular CNMC'!$B$20,IF(B11/1000&gt;'Peajes Circular CNMC'!$C$19,'Peajes Circular CNMC'!$B$19,IF(B11/1000&gt;'Peajes Circular CNMC'!$C$18,'Peajes Circular CNMC'!$B$18,IF(B11/1000&gt;'Peajes Circular CNMC'!$C$17,'Peajes Circular CNMC'!$B$17,IF(B11/1000&gt;'Peajes Circular CNMC'!$C$16,'Peajes Circular CNMC'!$B$16,IF(B11/1000&gt;'Peajes Circular CNMC'!$C$15,'Peajes Circular CNMC'!$B$15,IF(B11/1000&gt;'Peajes Circular CNMC'!$C$14,'Peajes Circular CNMC'!$B$14,'Peajes Circular CNMC'!$B$13))))))))))</f>
        <v>D.2</v>
      </c>
      <c r="K11" s="87">
        <f>VLOOKUP(J11,'Peajes Circular CNMC'!$B$13:$J$23,8,FALSE)</f>
        <v>2.6749999999999998</v>
      </c>
      <c r="L11" s="87">
        <f>VLOOKUP(J11,'Peajes Circular CNMC'!$B$13:$J$23,9,FALSE)/1000</f>
        <v>1.6985E-2</v>
      </c>
      <c r="M11" s="123">
        <f t="shared" si="3"/>
        <v>32.099999999999994</v>
      </c>
      <c r="N11" s="123">
        <f t="shared" si="4"/>
        <v>254.77500000000001</v>
      </c>
      <c r="O11" s="122">
        <f t="shared" si="5"/>
        <v>19.125</v>
      </c>
    </row>
    <row r="12" spans="2:15">
      <c r="B12" s="105">
        <v>15001</v>
      </c>
      <c r="C12" s="76" t="str">
        <f>IF(B12/1000&gt;'Peajes Actuales'!$C$14,'Peajes Actuales'!$B$14,IF(B12/1000&gt;'Peajes Actuales'!$C$13,'Peajes Actuales'!$B$13,IF(B12/1000&gt;'Peajes Actuales'!$C$12,'Peajes Actuales'!$B$12,'Peajes Actuales'!$B$11)))</f>
        <v>3.2</v>
      </c>
      <c r="D12" s="87">
        <f>VLOOKUP(C12,'Peajes Actuales'!$B$11:$J$14,8,FALSE)</f>
        <v>5.79</v>
      </c>
      <c r="E12" s="90">
        <f>VLOOKUP(C12,'Peajes Actuales'!$B$11:$J$14,9,FALSE)/1000</f>
        <v>2.2412999999999999E-2</v>
      </c>
      <c r="F12" s="123">
        <f t="shared" si="0"/>
        <v>69.48</v>
      </c>
      <c r="G12" s="123">
        <f t="shared" si="1"/>
        <v>336.21741299999996</v>
      </c>
      <c r="H12" s="122">
        <f t="shared" si="2"/>
        <v>27.044691220585293</v>
      </c>
      <c r="J12" s="76" t="str">
        <f>IF(B12/1000&gt;'Peajes Circular CNMC'!$C$23,'Peajes Circular CNMC'!$B$23,IF(B12/1000&gt;'Peajes Circular CNMC'!$C$22,'Peajes Circular CNMC'!$B$22,IF(B12/1000&gt;'Peajes Circular CNMC'!$C$21,'Peajes Circular CNMC'!$B$21,IF(B12/1000&gt;'Peajes Circular CNMC'!$C$20,'Peajes Circular CNMC'!$B$20,IF(B12/1000&gt;'Peajes Circular CNMC'!$C$19,'Peajes Circular CNMC'!$B$19,IF(B12/1000&gt;'Peajes Circular CNMC'!$C$18,'Peajes Circular CNMC'!$B$18,IF(B12/1000&gt;'Peajes Circular CNMC'!$C$17,'Peajes Circular CNMC'!$B$17,IF(B12/1000&gt;'Peajes Circular CNMC'!$C$16,'Peajes Circular CNMC'!$B$16,IF(B12/1000&gt;'Peajes Circular CNMC'!$C$15,'Peajes Circular CNMC'!$B$15,IF(B12/1000&gt;'Peajes Circular CNMC'!$C$14,'Peajes Circular CNMC'!$B$14,'Peajes Circular CNMC'!$B$13))))))))))</f>
        <v>D.3</v>
      </c>
      <c r="K12" s="87">
        <f>VLOOKUP(J12,'Peajes Circular CNMC'!$B$13:$J$23,8,FALSE)</f>
        <v>13.936999999999999</v>
      </c>
      <c r="L12" s="87">
        <f>VLOOKUP(J12,'Peajes Circular CNMC'!$B$13:$J$23,9,FALSE)/1000</f>
        <v>1.4494E-2</v>
      </c>
      <c r="M12" s="123">
        <f t="shared" si="3"/>
        <v>167.244</v>
      </c>
      <c r="N12" s="123">
        <f t="shared" si="4"/>
        <v>217.42449400000001</v>
      </c>
      <c r="O12" s="122">
        <f t="shared" si="5"/>
        <v>25.642856742883808</v>
      </c>
    </row>
    <row r="13" spans="2:15">
      <c r="B13" s="105">
        <v>20000</v>
      </c>
      <c r="C13" s="76" t="str">
        <f>IF(B13/1000&gt;'Peajes Actuales'!$C$14,'Peajes Actuales'!$B$14,IF(B13/1000&gt;'Peajes Actuales'!$C$13,'Peajes Actuales'!$B$13,IF(B13/1000&gt;'Peajes Actuales'!$C$12,'Peajes Actuales'!$B$12,'Peajes Actuales'!$B$11)))</f>
        <v>3.2</v>
      </c>
      <c r="D13" s="87">
        <f>VLOOKUP(C13,'Peajes Actuales'!$B$11:$J$14,8,FALSE)</f>
        <v>5.79</v>
      </c>
      <c r="E13" s="90">
        <f>VLOOKUP(C13,'Peajes Actuales'!$B$11:$J$14,9,FALSE)/1000</f>
        <v>2.2412999999999999E-2</v>
      </c>
      <c r="F13" s="123">
        <f t="shared" si="0"/>
        <v>69.48</v>
      </c>
      <c r="G13" s="123">
        <f t="shared" si="1"/>
        <v>448.26</v>
      </c>
      <c r="H13" s="122">
        <f t="shared" si="2"/>
        <v>25.887</v>
      </c>
      <c r="J13" s="76" t="str">
        <f>IF(B13/1000&gt;'Peajes Circular CNMC'!$C$23,'Peajes Circular CNMC'!$B$23,IF(B13/1000&gt;'Peajes Circular CNMC'!$C$22,'Peajes Circular CNMC'!$B$22,IF(B13/1000&gt;'Peajes Circular CNMC'!$C$21,'Peajes Circular CNMC'!$B$21,IF(B13/1000&gt;'Peajes Circular CNMC'!$C$20,'Peajes Circular CNMC'!$B$20,IF(B13/1000&gt;'Peajes Circular CNMC'!$C$19,'Peajes Circular CNMC'!$B$19,IF(B13/1000&gt;'Peajes Circular CNMC'!$C$18,'Peajes Circular CNMC'!$B$18,IF(B13/1000&gt;'Peajes Circular CNMC'!$C$17,'Peajes Circular CNMC'!$B$17,IF(B13/1000&gt;'Peajes Circular CNMC'!$C$16,'Peajes Circular CNMC'!$B$16,IF(B13/1000&gt;'Peajes Circular CNMC'!$C$15,'Peajes Circular CNMC'!$B$15,IF(B13/1000&gt;'Peajes Circular CNMC'!$C$14,'Peajes Circular CNMC'!$B$14,'Peajes Circular CNMC'!$B$13))))))))))</f>
        <v>D.3</v>
      </c>
      <c r="K13" s="87">
        <f>VLOOKUP(J13,'Peajes Circular CNMC'!$B$13:$J$23,8,FALSE)</f>
        <v>13.936999999999999</v>
      </c>
      <c r="L13" s="87">
        <f>VLOOKUP(J13,'Peajes Circular CNMC'!$B$13:$J$23,9,FALSE)/1000</f>
        <v>1.4494E-2</v>
      </c>
      <c r="M13" s="123">
        <f t="shared" si="3"/>
        <v>167.244</v>
      </c>
      <c r="N13" s="123">
        <f t="shared" si="4"/>
        <v>289.88</v>
      </c>
      <c r="O13" s="122">
        <f t="shared" si="5"/>
        <v>22.856200000000001</v>
      </c>
    </row>
    <row r="14" spans="2:15">
      <c r="B14" s="105">
        <v>25000</v>
      </c>
      <c r="C14" s="76" t="str">
        <f>IF(B14/1000&gt;'Peajes Actuales'!$C$14,'Peajes Actuales'!$B$14,IF(B14/1000&gt;'Peajes Actuales'!$C$13,'Peajes Actuales'!$B$13,IF(B14/1000&gt;'Peajes Actuales'!$C$12,'Peajes Actuales'!$B$12,'Peajes Actuales'!$B$11)))</f>
        <v>3.2</v>
      </c>
      <c r="D14" s="87">
        <f>VLOOKUP(C14,'Peajes Actuales'!$B$11:$J$14,8,FALSE)</f>
        <v>5.79</v>
      </c>
      <c r="E14" s="90">
        <f>VLOOKUP(C14,'Peajes Actuales'!$B$11:$J$14,9,FALSE)/1000</f>
        <v>2.2412999999999999E-2</v>
      </c>
      <c r="F14" s="123">
        <f t="shared" si="0"/>
        <v>69.48</v>
      </c>
      <c r="G14" s="123">
        <f t="shared" si="1"/>
        <v>560.32499999999993</v>
      </c>
      <c r="H14" s="122">
        <f t="shared" si="2"/>
        <v>25.1922</v>
      </c>
      <c r="J14" s="76" t="str">
        <f>IF(B14/1000&gt;'Peajes Circular CNMC'!$C$23,'Peajes Circular CNMC'!$B$23,IF(B14/1000&gt;'Peajes Circular CNMC'!$C$22,'Peajes Circular CNMC'!$B$22,IF(B14/1000&gt;'Peajes Circular CNMC'!$C$21,'Peajes Circular CNMC'!$B$21,IF(B14/1000&gt;'Peajes Circular CNMC'!$C$20,'Peajes Circular CNMC'!$B$20,IF(B14/1000&gt;'Peajes Circular CNMC'!$C$19,'Peajes Circular CNMC'!$B$19,IF(B14/1000&gt;'Peajes Circular CNMC'!$C$18,'Peajes Circular CNMC'!$B$18,IF(B14/1000&gt;'Peajes Circular CNMC'!$C$17,'Peajes Circular CNMC'!$B$17,IF(B14/1000&gt;'Peajes Circular CNMC'!$C$16,'Peajes Circular CNMC'!$B$16,IF(B14/1000&gt;'Peajes Circular CNMC'!$C$15,'Peajes Circular CNMC'!$B$15,IF(B14/1000&gt;'Peajes Circular CNMC'!$C$14,'Peajes Circular CNMC'!$B$14,'Peajes Circular CNMC'!$B$13))))))))))</f>
        <v>D.3</v>
      </c>
      <c r="K14" s="87">
        <f>VLOOKUP(J14,'Peajes Circular CNMC'!$B$13:$J$23,8,FALSE)</f>
        <v>13.936999999999999</v>
      </c>
      <c r="L14" s="87">
        <f>VLOOKUP(J14,'Peajes Circular CNMC'!$B$13:$J$23,9,FALSE)/1000</f>
        <v>1.4494E-2</v>
      </c>
      <c r="M14" s="123">
        <f t="shared" si="3"/>
        <v>167.244</v>
      </c>
      <c r="N14" s="123">
        <f t="shared" si="4"/>
        <v>362.35</v>
      </c>
      <c r="O14" s="122">
        <f t="shared" si="5"/>
        <v>21.183760000000003</v>
      </c>
    </row>
    <row r="15" spans="2:15">
      <c r="B15" s="105">
        <v>30000</v>
      </c>
      <c r="C15" s="76" t="str">
        <f>IF(B15/1000&gt;'Peajes Actuales'!$C$14,'Peajes Actuales'!$B$14,IF(B15/1000&gt;'Peajes Actuales'!$C$13,'Peajes Actuales'!$B$13,IF(B15/1000&gt;'Peajes Actuales'!$C$12,'Peajes Actuales'!$B$12,'Peajes Actuales'!$B$11)))</f>
        <v>3.2</v>
      </c>
      <c r="D15" s="87">
        <f>VLOOKUP(C15,'Peajes Actuales'!$B$11:$J$14,8,FALSE)</f>
        <v>5.79</v>
      </c>
      <c r="E15" s="90">
        <f>VLOOKUP(C15,'Peajes Actuales'!$B$11:$J$14,9,FALSE)/1000</f>
        <v>2.2412999999999999E-2</v>
      </c>
      <c r="F15" s="123">
        <f t="shared" si="0"/>
        <v>69.48</v>
      </c>
      <c r="G15" s="123">
        <f t="shared" si="1"/>
        <v>672.39</v>
      </c>
      <c r="H15" s="122">
        <f t="shared" si="2"/>
        <v>24.728999999999999</v>
      </c>
      <c r="J15" s="76" t="str">
        <f>IF(B15/1000&gt;'Peajes Circular CNMC'!$C$23,'Peajes Circular CNMC'!$B$23,IF(B15/1000&gt;'Peajes Circular CNMC'!$C$22,'Peajes Circular CNMC'!$B$22,IF(B15/1000&gt;'Peajes Circular CNMC'!$C$21,'Peajes Circular CNMC'!$B$21,IF(B15/1000&gt;'Peajes Circular CNMC'!$C$20,'Peajes Circular CNMC'!$B$20,IF(B15/1000&gt;'Peajes Circular CNMC'!$C$19,'Peajes Circular CNMC'!$B$19,IF(B15/1000&gt;'Peajes Circular CNMC'!$C$18,'Peajes Circular CNMC'!$B$18,IF(B15/1000&gt;'Peajes Circular CNMC'!$C$17,'Peajes Circular CNMC'!$B$17,IF(B15/1000&gt;'Peajes Circular CNMC'!$C$16,'Peajes Circular CNMC'!$B$16,IF(B15/1000&gt;'Peajes Circular CNMC'!$C$15,'Peajes Circular CNMC'!$B$15,IF(B15/1000&gt;'Peajes Circular CNMC'!$C$14,'Peajes Circular CNMC'!$B$14,'Peajes Circular CNMC'!$B$13))))))))))</f>
        <v>D.3</v>
      </c>
      <c r="K15" s="87">
        <f>VLOOKUP(J15,'Peajes Circular CNMC'!$B$13:$J$23,8,FALSE)</f>
        <v>13.936999999999999</v>
      </c>
      <c r="L15" s="87">
        <f>VLOOKUP(J15,'Peajes Circular CNMC'!$B$13:$J$23,9,FALSE)/1000</f>
        <v>1.4494E-2</v>
      </c>
      <c r="M15" s="123">
        <f t="shared" si="3"/>
        <v>167.244</v>
      </c>
      <c r="N15" s="123">
        <f t="shared" si="4"/>
        <v>434.82</v>
      </c>
      <c r="O15" s="122">
        <f t="shared" si="5"/>
        <v>20.0688</v>
      </c>
    </row>
    <row r="16" spans="2:15">
      <c r="B16" s="105">
        <v>35000</v>
      </c>
      <c r="C16" s="76" t="str">
        <f>IF(B16/1000&gt;'Peajes Actuales'!$C$14,'Peajes Actuales'!$B$14,IF(B16/1000&gt;'Peajes Actuales'!$C$13,'Peajes Actuales'!$B$13,IF(B16/1000&gt;'Peajes Actuales'!$C$12,'Peajes Actuales'!$B$12,'Peajes Actuales'!$B$11)))</f>
        <v>3.2</v>
      </c>
      <c r="D16" s="87">
        <f>VLOOKUP(C16,'Peajes Actuales'!$B$11:$J$14,8,FALSE)</f>
        <v>5.79</v>
      </c>
      <c r="E16" s="90">
        <f>VLOOKUP(C16,'Peajes Actuales'!$B$11:$J$14,9,FALSE)/1000</f>
        <v>2.2412999999999999E-2</v>
      </c>
      <c r="F16" s="123">
        <f t="shared" si="0"/>
        <v>69.48</v>
      </c>
      <c r="G16" s="123">
        <f t="shared" si="1"/>
        <v>784.45499999999993</v>
      </c>
      <c r="H16" s="122">
        <f t="shared" si="2"/>
        <v>24.398142857142854</v>
      </c>
      <c r="J16" s="76" t="str">
        <f>IF(B16/1000&gt;'Peajes Circular CNMC'!$C$23,'Peajes Circular CNMC'!$B$23,IF(B16/1000&gt;'Peajes Circular CNMC'!$C$22,'Peajes Circular CNMC'!$B$22,IF(B16/1000&gt;'Peajes Circular CNMC'!$C$21,'Peajes Circular CNMC'!$B$21,IF(B16/1000&gt;'Peajes Circular CNMC'!$C$20,'Peajes Circular CNMC'!$B$20,IF(B16/1000&gt;'Peajes Circular CNMC'!$C$19,'Peajes Circular CNMC'!$B$19,IF(B16/1000&gt;'Peajes Circular CNMC'!$C$18,'Peajes Circular CNMC'!$B$18,IF(B16/1000&gt;'Peajes Circular CNMC'!$C$17,'Peajes Circular CNMC'!$B$17,IF(B16/1000&gt;'Peajes Circular CNMC'!$C$16,'Peajes Circular CNMC'!$B$16,IF(B16/1000&gt;'Peajes Circular CNMC'!$C$15,'Peajes Circular CNMC'!$B$15,IF(B16/1000&gt;'Peajes Circular CNMC'!$C$14,'Peajes Circular CNMC'!$B$14,'Peajes Circular CNMC'!$B$13))))))))))</f>
        <v>D.3</v>
      </c>
      <c r="K16" s="87">
        <f>VLOOKUP(J16,'Peajes Circular CNMC'!$B$13:$J$23,8,FALSE)</f>
        <v>13.936999999999999</v>
      </c>
      <c r="L16" s="87">
        <f>VLOOKUP(J16,'Peajes Circular CNMC'!$B$13:$J$23,9,FALSE)/1000</f>
        <v>1.4494E-2</v>
      </c>
      <c r="M16" s="123">
        <f t="shared" si="3"/>
        <v>167.244</v>
      </c>
      <c r="N16" s="123">
        <f t="shared" si="4"/>
        <v>507.29</v>
      </c>
      <c r="O16" s="122">
        <f t="shared" si="5"/>
        <v>19.272400000000001</v>
      </c>
    </row>
    <row r="17" spans="2:15">
      <c r="B17" s="105">
        <v>40000</v>
      </c>
      <c r="C17" s="76" t="str">
        <f>IF(B17/1000&gt;'Peajes Actuales'!$C$14,'Peajes Actuales'!$B$14,IF(B17/1000&gt;'Peajes Actuales'!$C$13,'Peajes Actuales'!$B$13,IF(B17/1000&gt;'Peajes Actuales'!$C$12,'Peajes Actuales'!$B$12,'Peajes Actuales'!$B$11)))</f>
        <v>3.2</v>
      </c>
      <c r="D17" s="87">
        <f>VLOOKUP(C17,'Peajes Actuales'!$B$11:$J$14,8,FALSE)</f>
        <v>5.79</v>
      </c>
      <c r="E17" s="90">
        <f>VLOOKUP(C17,'Peajes Actuales'!$B$11:$J$14,9,FALSE)/1000</f>
        <v>2.2412999999999999E-2</v>
      </c>
      <c r="F17" s="123">
        <f t="shared" si="0"/>
        <v>69.48</v>
      </c>
      <c r="G17" s="123">
        <f t="shared" si="1"/>
        <v>896.52</v>
      </c>
      <c r="H17" s="122">
        <f t="shared" si="2"/>
        <v>24.15</v>
      </c>
      <c r="J17" s="76" t="str">
        <f>IF(B17/1000&gt;'Peajes Circular CNMC'!$C$23,'Peajes Circular CNMC'!$B$23,IF(B17/1000&gt;'Peajes Circular CNMC'!$C$22,'Peajes Circular CNMC'!$B$22,IF(B17/1000&gt;'Peajes Circular CNMC'!$C$21,'Peajes Circular CNMC'!$B$21,IF(B17/1000&gt;'Peajes Circular CNMC'!$C$20,'Peajes Circular CNMC'!$B$20,IF(B17/1000&gt;'Peajes Circular CNMC'!$C$19,'Peajes Circular CNMC'!$B$19,IF(B17/1000&gt;'Peajes Circular CNMC'!$C$18,'Peajes Circular CNMC'!$B$18,IF(B17/1000&gt;'Peajes Circular CNMC'!$C$17,'Peajes Circular CNMC'!$B$17,IF(B17/1000&gt;'Peajes Circular CNMC'!$C$16,'Peajes Circular CNMC'!$B$16,IF(B17/1000&gt;'Peajes Circular CNMC'!$C$15,'Peajes Circular CNMC'!$B$15,IF(B17/1000&gt;'Peajes Circular CNMC'!$C$14,'Peajes Circular CNMC'!$B$14,'Peajes Circular CNMC'!$B$13))))))))))</f>
        <v>D.3</v>
      </c>
      <c r="K17" s="87">
        <f>VLOOKUP(J17,'Peajes Circular CNMC'!$B$13:$J$23,8,FALSE)</f>
        <v>13.936999999999999</v>
      </c>
      <c r="L17" s="87">
        <f>VLOOKUP(J17,'Peajes Circular CNMC'!$B$13:$J$23,9,FALSE)/1000</f>
        <v>1.4494E-2</v>
      </c>
      <c r="M17" s="123">
        <f t="shared" si="3"/>
        <v>167.244</v>
      </c>
      <c r="N17" s="123">
        <f t="shared" si="4"/>
        <v>579.76</v>
      </c>
      <c r="O17" s="122">
        <f t="shared" si="5"/>
        <v>18.6751</v>
      </c>
    </row>
    <row r="18" spans="2:15">
      <c r="B18" s="105">
        <v>45000</v>
      </c>
      <c r="C18" s="76" t="str">
        <f>IF(B18/1000&gt;'Peajes Actuales'!$C$14,'Peajes Actuales'!$B$14,IF(B18/1000&gt;'Peajes Actuales'!$C$13,'Peajes Actuales'!$B$13,IF(B18/1000&gt;'Peajes Actuales'!$C$12,'Peajes Actuales'!$B$12,'Peajes Actuales'!$B$11)))</f>
        <v>3.2</v>
      </c>
      <c r="D18" s="87">
        <f>VLOOKUP(C18,'Peajes Actuales'!$B$11:$J$14,8,FALSE)</f>
        <v>5.79</v>
      </c>
      <c r="E18" s="90">
        <f>VLOOKUP(C18,'Peajes Actuales'!$B$11:$J$14,9,FALSE)/1000</f>
        <v>2.2412999999999999E-2</v>
      </c>
      <c r="F18" s="123">
        <f t="shared" si="0"/>
        <v>69.48</v>
      </c>
      <c r="G18" s="123">
        <f t="shared" si="1"/>
        <v>1008.5849999999999</v>
      </c>
      <c r="H18" s="122">
        <f t="shared" si="2"/>
        <v>23.956999999999997</v>
      </c>
      <c r="J18" s="76" t="str">
        <f>IF(B18/1000&gt;'Peajes Circular CNMC'!$C$23,'Peajes Circular CNMC'!$B$23,IF(B18/1000&gt;'Peajes Circular CNMC'!$C$22,'Peajes Circular CNMC'!$B$22,IF(B18/1000&gt;'Peajes Circular CNMC'!$C$21,'Peajes Circular CNMC'!$B$21,IF(B18/1000&gt;'Peajes Circular CNMC'!$C$20,'Peajes Circular CNMC'!$B$20,IF(B18/1000&gt;'Peajes Circular CNMC'!$C$19,'Peajes Circular CNMC'!$B$19,IF(B18/1000&gt;'Peajes Circular CNMC'!$C$18,'Peajes Circular CNMC'!$B$18,IF(B18/1000&gt;'Peajes Circular CNMC'!$C$17,'Peajes Circular CNMC'!$B$17,IF(B18/1000&gt;'Peajes Circular CNMC'!$C$16,'Peajes Circular CNMC'!$B$16,IF(B18/1000&gt;'Peajes Circular CNMC'!$C$15,'Peajes Circular CNMC'!$B$15,IF(B18/1000&gt;'Peajes Circular CNMC'!$C$14,'Peajes Circular CNMC'!$B$14,'Peajes Circular CNMC'!$B$13))))))))))</f>
        <v>D.3</v>
      </c>
      <c r="K18" s="87">
        <f>VLOOKUP(J18,'Peajes Circular CNMC'!$B$13:$J$23,8,FALSE)</f>
        <v>13.936999999999999</v>
      </c>
      <c r="L18" s="87">
        <f>VLOOKUP(J18,'Peajes Circular CNMC'!$B$13:$J$23,9,FALSE)/1000</f>
        <v>1.4494E-2</v>
      </c>
      <c r="M18" s="123">
        <f t="shared" si="3"/>
        <v>167.244</v>
      </c>
      <c r="N18" s="123">
        <f t="shared" si="4"/>
        <v>652.23</v>
      </c>
      <c r="O18" s="122">
        <f t="shared" si="5"/>
        <v>18.210533333333334</v>
      </c>
    </row>
    <row r="19" spans="2:15">
      <c r="B19" s="105">
        <v>50000</v>
      </c>
      <c r="C19" s="76" t="str">
        <f>IF(B19/1000&gt;'Peajes Actuales'!$C$14,'Peajes Actuales'!$B$14,IF(B19/1000&gt;'Peajes Actuales'!$C$13,'Peajes Actuales'!$B$13,IF(B19/1000&gt;'Peajes Actuales'!$C$12,'Peajes Actuales'!$B$12,'Peajes Actuales'!$B$11)))</f>
        <v>3.2</v>
      </c>
      <c r="D19" s="87">
        <f>VLOOKUP(C19,'Peajes Actuales'!$B$11:$J$14,8,FALSE)</f>
        <v>5.79</v>
      </c>
      <c r="E19" s="90">
        <f>VLOOKUP(C19,'Peajes Actuales'!$B$11:$J$14,9,FALSE)/1000</f>
        <v>2.2412999999999999E-2</v>
      </c>
      <c r="F19" s="123">
        <f t="shared" si="0"/>
        <v>69.48</v>
      </c>
      <c r="G19" s="123">
        <f t="shared" si="1"/>
        <v>1120.6499999999999</v>
      </c>
      <c r="H19" s="122">
        <f t="shared" si="2"/>
        <v>23.802599999999998</v>
      </c>
      <c r="J19" s="76" t="str">
        <f>IF(B19/1000&gt;'Peajes Circular CNMC'!$C$23,'Peajes Circular CNMC'!$B$23,IF(B19/1000&gt;'Peajes Circular CNMC'!$C$22,'Peajes Circular CNMC'!$B$22,IF(B19/1000&gt;'Peajes Circular CNMC'!$C$21,'Peajes Circular CNMC'!$B$21,IF(B19/1000&gt;'Peajes Circular CNMC'!$C$20,'Peajes Circular CNMC'!$B$20,IF(B19/1000&gt;'Peajes Circular CNMC'!$C$19,'Peajes Circular CNMC'!$B$19,IF(B19/1000&gt;'Peajes Circular CNMC'!$C$18,'Peajes Circular CNMC'!$B$18,IF(B19/1000&gt;'Peajes Circular CNMC'!$C$17,'Peajes Circular CNMC'!$B$17,IF(B19/1000&gt;'Peajes Circular CNMC'!$C$16,'Peajes Circular CNMC'!$B$16,IF(B19/1000&gt;'Peajes Circular CNMC'!$C$15,'Peajes Circular CNMC'!$B$15,IF(B19/1000&gt;'Peajes Circular CNMC'!$C$14,'Peajes Circular CNMC'!$B$14,'Peajes Circular CNMC'!$B$13))))))))))</f>
        <v>D.3</v>
      </c>
      <c r="K19" s="87">
        <f>VLOOKUP(J19,'Peajes Circular CNMC'!$B$13:$J$23,8,FALSE)</f>
        <v>13.936999999999999</v>
      </c>
      <c r="L19" s="87">
        <f>VLOOKUP(J19,'Peajes Circular CNMC'!$B$13:$J$23,9,FALSE)/1000</f>
        <v>1.4494E-2</v>
      </c>
      <c r="M19" s="123">
        <f t="shared" si="3"/>
        <v>167.244</v>
      </c>
      <c r="N19" s="123">
        <f t="shared" si="4"/>
        <v>724.7</v>
      </c>
      <c r="O19" s="122">
        <f t="shared" si="5"/>
        <v>17.838880000000003</v>
      </c>
    </row>
    <row r="20" spans="2:15">
      <c r="B20" s="105">
        <v>50001</v>
      </c>
      <c r="C20" s="76" t="str">
        <f>IF(B20/1000&gt;'Peajes Actuales'!$C$14,'Peajes Actuales'!$B$14,IF(B20/1000&gt;'Peajes Actuales'!$C$13,'Peajes Actuales'!$B$13,IF(B20/1000&gt;'Peajes Actuales'!$C$12,'Peajes Actuales'!$B$12,'Peajes Actuales'!$B$11)))</f>
        <v>3.3</v>
      </c>
      <c r="D20" s="87">
        <f>VLOOKUP(C20,'Peajes Actuales'!$B$11:$J$14,8,FALSE)</f>
        <v>54.22</v>
      </c>
      <c r="E20" s="90">
        <f>VLOOKUP(C20,'Peajes Actuales'!$B$11:$J$14,9,FALSE)/1000</f>
        <v>1.6116999999999999E-2</v>
      </c>
      <c r="F20" s="123">
        <f t="shared" ref="F20" si="6">D20*12</f>
        <v>650.64</v>
      </c>
      <c r="G20" s="123">
        <f t="shared" si="1"/>
        <v>805.86611699999992</v>
      </c>
      <c r="H20" s="122">
        <f t="shared" si="2"/>
        <v>29.129539749205016</v>
      </c>
      <c r="J20" s="76" t="str">
        <f>IF(B20/1000&gt;'Peajes Circular CNMC'!$C$23,'Peajes Circular CNMC'!$B$23,IF(B20/1000&gt;'Peajes Circular CNMC'!$C$22,'Peajes Circular CNMC'!$B$22,IF(B20/1000&gt;'Peajes Circular CNMC'!$C$21,'Peajes Circular CNMC'!$B$21,IF(B20/1000&gt;'Peajes Circular CNMC'!$C$20,'Peajes Circular CNMC'!$B$20,IF(B20/1000&gt;'Peajes Circular CNMC'!$C$19,'Peajes Circular CNMC'!$B$19,IF(B20/1000&gt;'Peajes Circular CNMC'!$C$18,'Peajes Circular CNMC'!$B$18,IF(B20/1000&gt;'Peajes Circular CNMC'!$C$17,'Peajes Circular CNMC'!$B$17,IF(B20/1000&gt;'Peajes Circular CNMC'!$C$16,'Peajes Circular CNMC'!$B$16,IF(B20/1000&gt;'Peajes Circular CNMC'!$C$15,'Peajes Circular CNMC'!$B$15,IF(B20/1000&gt;'Peajes Circular CNMC'!$C$14,'Peajes Circular CNMC'!$B$14,'Peajes Circular CNMC'!$B$13))))))))))</f>
        <v>D.4</v>
      </c>
      <c r="K20" s="87">
        <f>VLOOKUP(J20,'Peajes Circular CNMC'!$B$13:$J$23,8,FALSE)</f>
        <v>45.389000000000003</v>
      </c>
      <c r="L20" s="87">
        <f>VLOOKUP(J20,'Peajes Circular CNMC'!$B$13:$J$23,9,FALSE)/1000</f>
        <v>1.4335000000000001E-2</v>
      </c>
      <c r="M20" s="123">
        <f t="shared" si="3"/>
        <v>544.66800000000001</v>
      </c>
      <c r="N20" s="123">
        <f t="shared" si="4"/>
        <v>716.76433500000007</v>
      </c>
      <c r="O20" s="122">
        <f t="shared" si="5"/>
        <v>25.228142137157256</v>
      </c>
    </row>
    <row r="21" spans="2:15">
      <c r="B21" s="105">
        <v>100000</v>
      </c>
      <c r="C21" s="76" t="str">
        <f>IF(B21/1000&gt;'Peajes Actuales'!$C$14,'Peajes Actuales'!$B$14,IF(B21/1000&gt;'Peajes Actuales'!$C$13,'Peajes Actuales'!$B$13,IF(B21/1000&gt;'Peajes Actuales'!$C$12,'Peajes Actuales'!$B$12,'Peajes Actuales'!$B$11)))</f>
        <v>3.3</v>
      </c>
      <c r="D21" s="87">
        <f>VLOOKUP(C21,'Peajes Actuales'!$B$11:$J$14,8,FALSE)</f>
        <v>54.22</v>
      </c>
      <c r="E21" s="90">
        <f>VLOOKUP(C21,'Peajes Actuales'!$B$11:$J$14,9,FALSE)/1000</f>
        <v>1.6116999999999999E-2</v>
      </c>
      <c r="F21" s="123">
        <f t="shared" ref="F21:F25" si="7">D21*12</f>
        <v>650.64</v>
      </c>
      <c r="G21" s="123">
        <f t="shared" ref="G21:G25" si="8">B21*E21</f>
        <v>1611.7</v>
      </c>
      <c r="H21" s="122">
        <f t="shared" si="2"/>
        <v>22.6234</v>
      </c>
      <c r="J21" s="76" t="str">
        <f>IF(B21/1000&gt;'Peajes Circular CNMC'!$C$23,'Peajes Circular CNMC'!$B$23,IF(B21/1000&gt;'Peajes Circular CNMC'!$C$22,'Peajes Circular CNMC'!$B$22,IF(B21/1000&gt;'Peajes Circular CNMC'!$C$21,'Peajes Circular CNMC'!$B$21,IF(B21/1000&gt;'Peajes Circular CNMC'!$C$20,'Peajes Circular CNMC'!$B$20,IF(B21/1000&gt;'Peajes Circular CNMC'!$C$19,'Peajes Circular CNMC'!$B$19,IF(B21/1000&gt;'Peajes Circular CNMC'!$C$18,'Peajes Circular CNMC'!$B$18,IF(B21/1000&gt;'Peajes Circular CNMC'!$C$17,'Peajes Circular CNMC'!$B$17,IF(B21/1000&gt;'Peajes Circular CNMC'!$C$16,'Peajes Circular CNMC'!$B$16,IF(B21/1000&gt;'Peajes Circular CNMC'!$C$15,'Peajes Circular CNMC'!$B$15,IF(B21/1000&gt;'Peajes Circular CNMC'!$C$14,'Peajes Circular CNMC'!$B$14,'Peajes Circular CNMC'!$B$13))))))))))</f>
        <v>D.4</v>
      </c>
      <c r="K21" s="87">
        <f>VLOOKUP(J21,'Peajes Circular CNMC'!$B$13:$J$23,8,FALSE)</f>
        <v>45.389000000000003</v>
      </c>
      <c r="L21" s="87">
        <f>VLOOKUP(J21,'Peajes Circular CNMC'!$B$13:$J$23,9,FALSE)/1000</f>
        <v>1.4335000000000001E-2</v>
      </c>
      <c r="M21" s="123">
        <f t="shared" ref="M21:M25" si="9">12*K21</f>
        <v>544.66800000000001</v>
      </c>
      <c r="N21" s="123">
        <f t="shared" ref="N21:N25" si="10">L21*B21</f>
        <v>1433.5</v>
      </c>
      <c r="O21" s="122">
        <f t="shared" si="5"/>
        <v>19.781680000000001</v>
      </c>
    </row>
    <row r="22" spans="2:15">
      <c r="B22" s="105">
        <v>150000</v>
      </c>
      <c r="C22" s="76" t="str">
        <f>IF(B22/1000&gt;'Peajes Actuales'!$C$14,'Peajes Actuales'!$B$14,IF(B22/1000&gt;'Peajes Actuales'!$C$13,'Peajes Actuales'!$B$13,IF(B22/1000&gt;'Peajes Actuales'!$C$12,'Peajes Actuales'!$B$12,'Peajes Actuales'!$B$11)))</f>
        <v>3.4</v>
      </c>
      <c r="D22" s="87">
        <f>VLOOKUP(C22,'Peajes Actuales'!$B$11:$J$14,8,FALSE)</f>
        <v>80.97</v>
      </c>
      <c r="E22" s="90">
        <f>VLOOKUP(C22,'Peajes Actuales'!$B$11:$J$14,9,FALSE)/1000</f>
        <v>1.3012000000000001E-2</v>
      </c>
      <c r="F22" s="123">
        <f t="shared" si="7"/>
        <v>971.64</v>
      </c>
      <c r="G22" s="123">
        <f t="shared" si="8"/>
        <v>1951.8000000000002</v>
      </c>
      <c r="H22" s="122">
        <f t="shared" si="2"/>
        <v>19.489599999999999</v>
      </c>
      <c r="J22" s="76" t="str">
        <f>IF(B22/1000&gt;'Peajes Circular CNMC'!$C$23,'Peajes Circular CNMC'!$B$23,IF(B22/1000&gt;'Peajes Circular CNMC'!$C$22,'Peajes Circular CNMC'!$B$22,IF(B22/1000&gt;'Peajes Circular CNMC'!$C$21,'Peajes Circular CNMC'!$B$21,IF(B22/1000&gt;'Peajes Circular CNMC'!$C$20,'Peajes Circular CNMC'!$B$20,IF(B22/1000&gt;'Peajes Circular CNMC'!$C$19,'Peajes Circular CNMC'!$B$19,IF(B22/1000&gt;'Peajes Circular CNMC'!$C$18,'Peajes Circular CNMC'!$B$18,IF(B22/1000&gt;'Peajes Circular CNMC'!$C$17,'Peajes Circular CNMC'!$B$17,IF(B22/1000&gt;'Peajes Circular CNMC'!$C$16,'Peajes Circular CNMC'!$B$16,IF(B22/1000&gt;'Peajes Circular CNMC'!$C$15,'Peajes Circular CNMC'!$B$15,IF(B22/1000&gt;'Peajes Circular CNMC'!$C$14,'Peajes Circular CNMC'!$B$14,'Peajes Circular CNMC'!$B$13))))))))))</f>
        <v>D.4</v>
      </c>
      <c r="K22" s="87">
        <f>VLOOKUP(J22,'Peajes Circular CNMC'!$B$13:$J$23,8,FALSE)</f>
        <v>45.389000000000003</v>
      </c>
      <c r="L22" s="87">
        <f>VLOOKUP(J22,'Peajes Circular CNMC'!$B$13:$J$23,9,FALSE)/1000</f>
        <v>1.4335000000000001E-2</v>
      </c>
      <c r="M22" s="123">
        <f t="shared" si="9"/>
        <v>544.66800000000001</v>
      </c>
      <c r="N22" s="123">
        <f t="shared" si="10"/>
        <v>2150.25</v>
      </c>
      <c r="O22" s="122">
        <f t="shared" si="5"/>
        <v>17.96612</v>
      </c>
    </row>
    <row r="23" spans="2:15">
      <c r="B23" s="105">
        <v>200000</v>
      </c>
      <c r="C23" s="76" t="str">
        <f>IF(B23/1000&gt;'Peajes Actuales'!$C$14,'Peajes Actuales'!$B$14,IF(B23/1000&gt;'Peajes Actuales'!$C$13,'Peajes Actuales'!$B$13,IF(B23/1000&gt;'Peajes Actuales'!$C$12,'Peajes Actuales'!$B$12,'Peajes Actuales'!$B$11)))</f>
        <v>3.4</v>
      </c>
      <c r="D23" s="87">
        <f>VLOOKUP(C23,'Peajes Actuales'!$B$11:$J$14,8,FALSE)</f>
        <v>80.97</v>
      </c>
      <c r="E23" s="90">
        <f>VLOOKUP(C23,'Peajes Actuales'!$B$11:$J$14,9,FALSE)/1000</f>
        <v>1.3012000000000001E-2</v>
      </c>
      <c r="F23" s="123">
        <f t="shared" si="7"/>
        <v>971.64</v>
      </c>
      <c r="G23" s="123">
        <f t="shared" si="8"/>
        <v>2602.4</v>
      </c>
      <c r="H23" s="122">
        <f t="shared" si="2"/>
        <v>17.870200000000001</v>
      </c>
      <c r="J23" s="76" t="str">
        <f>IF(B23/1000&gt;'Peajes Circular CNMC'!$C$23,'Peajes Circular CNMC'!$B$23,IF(B23/1000&gt;'Peajes Circular CNMC'!$C$22,'Peajes Circular CNMC'!$B$22,IF(B23/1000&gt;'Peajes Circular CNMC'!$C$21,'Peajes Circular CNMC'!$B$21,IF(B23/1000&gt;'Peajes Circular CNMC'!$C$20,'Peajes Circular CNMC'!$B$20,IF(B23/1000&gt;'Peajes Circular CNMC'!$C$19,'Peajes Circular CNMC'!$B$19,IF(B23/1000&gt;'Peajes Circular CNMC'!$C$18,'Peajes Circular CNMC'!$B$18,IF(B23/1000&gt;'Peajes Circular CNMC'!$C$17,'Peajes Circular CNMC'!$B$17,IF(B23/1000&gt;'Peajes Circular CNMC'!$C$16,'Peajes Circular CNMC'!$B$16,IF(B23/1000&gt;'Peajes Circular CNMC'!$C$15,'Peajes Circular CNMC'!$B$15,IF(B23/1000&gt;'Peajes Circular CNMC'!$C$14,'Peajes Circular CNMC'!$B$14,'Peajes Circular CNMC'!$B$13))))))))))</f>
        <v>D.4</v>
      </c>
      <c r="K23" s="87">
        <f>VLOOKUP(J23,'Peajes Circular CNMC'!$B$13:$J$23,8,FALSE)</f>
        <v>45.389000000000003</v>
      </c>
      <c r="L23" s="87">
        <f>VLOOKUP(J23,'Peajes Circular CNMC'!$B$13:$J$23,9,FALSE)/1000</f>
        <v>1.4335000000000001E-2</v>
      </c>
      <c r="M23" s="123">
        <f t="shared" si="9"/>
        <v>544.66800000000001</v>
      </c>
      <c r="N23" s="123">
        <f t="shared" si="10"/>
        <v>2867</v>
      </c>
      <c r="O23" s="122">
        <f t="shared" si="5"/>
        <v>17.058340000000001</v>
      </c>
    </row>
    <row r="24" spans="2:15">
      <c r="B24" s="105">
        <v>250000</v>
      </c>
      <c r="C24" s="76" t="str">
        <f>IF(B24/1000&gt;'Peajes Actuales'!$C$14,'Peajes Actuales'!$B$14,IF(B24/1000&gt;'Peajes Actuales'!$C$13,'Peajes Actuales'!$B$13,IF(B24/1000&gt;'Peajes Actuales'!$C$12,'Peajes Actuales'!$B$12,'Peajes Actuales'!$B$11)))</f>
        <v>3.4</v>
      </c>
      <c r="D24" s="87">
        <f>VLOOKUP(C24,'Peajes Actuales'!$B$11:$J$14,8,FALSE)</f>
        <v>80.97</v>
      </c>
      <c r="E24" s="90">
        <f>VLOOKUP(C24,'Peajes Actuales'!$B$11:$J$14,9,FALSE)/1000</f>
        <v>1.3012000000000001E-2</v>
      </c>
      <c r="F24" s="123">
        <f t="shared" si="7"/>
        <v>971.64</v>
      </c>
      <c r="G24" s="123">
        <f t="shared" si="8"/>
        <v>3253.0000000000005</v>
      </c>
      <c r="H24" s="122">
        <f t="shared" si="2"/>
        <v>16.89856</v>
      </c>
      <c r="J24" s="76" t="str">
        <f>IF(B24/1000&gt;'Peajes Circular CNMC'!$C$23,'Peajes Circular CNMC'!$B$23,IF(B24/1000&gt;'Peajes Circular CNMC'!$C$22,'Peajes Circular CNMC'!$B$22,IF(B24/1000&gt;'Peajes Circular CNMC'!$C$21,'Peajes Circular CNMC'!$B$21,IF(B24/1000&gt;'Peajes Circular CNMC'!$C$20,'Peajes Circular CNMC'!$B$20,IF(B24/1000&gt;'Peajes Circular CNMC'!$C$19,'Peajes Circular CNMC'!$B$19,IF(B24/1000&gt;'Peajes Circular CNMC'!$C$18,'Peajes Circular CNMC'!$B$18,IF(B24/1000&gt;'Peajes Circular CNMC'!$C$17,'Peajes Circular CNMC'!$B$17,IF(B24/1000&gt;'Peajes Circular CNMC'!$C$16,'Peajes Circular CNMC'!$B$16,IF(B24/1000&gt;'Peajes Circular CNMC'!$C$15,'Peajes Circular CNMC'!$B$15,IF(B24/1000&gt;'Peajes Circular CNMC'!$C$14,'Peajes Circular CNMC'!$B$14,'Peajes Circular CNMC'!$B$13))))))))))</f>
        <v>D.4</v>
      </c>
      <c r="K24" s="87">
        <f>VLOOKUP(J24,'Peajes Circular CNMC'!$B$13:$J$23,8,FALSE)</f>
        <v>45.389000000000003</v>
      </c>
      <c r="L24" s="87">
        <f>VLOOKUP(J24,'Peajes Circular CNMC'!$B$13:$J$23,9,FALSE)/1000</f>
        <v>1.4335000000000001E-2</v>
      </c>
      <c r="M24" s="123">
        <f t="shared" si="9"/>
        <v>544.66800000000001</v>
      </c>
      <c r="N24" s="123">
        <f t="shared" si="10"/>
        <v>3583.75</v>
      </c>
      <c r="O24" s="122">
        <f t="shared" si="5"/>
        <v>16.513672</v>
      </c>
    </row>
    <row r="25" spans="2:15">
      <c r="B25" s="105">
        <v>300000</v>
      </c>
      <c r="C25" s="76" t="str">
        <f>IF(B25/1000&gt;'Peajes Actuales'!$C$14,'Peajes Actuales'!$B$14,IF(B25/1000&gt;'Peajes Actuales'!$C$13,'Peajes Actuales'!$B$13,IF(B25/1000&gt;'Peajes Actuales'!$C$12,'Peajes Actuales'!$B$12,'Peajes Actuales'!$B$11)))</f>
        <v>3.4</v>
      </c>
      <c r="D25" s="87">
        <f>VLOOKUP(C25,'Peajes Actuales'!$B$11:$J$14,8,FALSE)</f>
        <v>80.97</v>
      </c>
      <c r="E25" s="90">
        <f>VLOOKUP(C25,'Peajes Actuales'!$B$11:$J$14,9,FALSE)/1000</f>
        <v>1.3012000000000001E-2</v>
      </c>
      <c r="F25" s="123">
        <f t="shared" si="7"/>
        <v>971.64</v>
      </c>
      <c r="G25" s="123">
        <f t="shared" si="8"/>
        <v>3903.6000000000004</v>
      </c>
      <c r="H25" s="122">
        <f t="shared" si="2"/>
        <v>16.250800000000002</v>
      </c>
      <c r="J25" s="76" t="str">
        <f>IF(B25/1000&gt;'Peajes Circular CNMC'!$C$23,'Peajes Circular CNMC'!$B$23,IF(B25/1000&gt;'Peajes Circular CNMC'!$C$22,'Peajes Circular CNMC'!$B$22,IF(B25/1000&gt;'Peajes Circular CNMC'!$C$21,'Peajes Circular CNMC'!$B$21,IF(B25/1000&gt;'Peajes Circular CNMC'!$C$20,'Peajes Circular CNMC'!$B$20,IF(B25/1000&gt;'Peajes Circular CNMC'!$C$19,'Peajes Circular CNMC'!$B$19,IF(B25/1000&gt;'Peajes Circular CNMC'!$C$18,'Peajes Circular CNMC'!$B$18,IF(B25/1000&gt;'Peajes Circular CNMC'!$C$17,'Peajes Circular CNMC'!$B$17,IF(B25/1000&gt;'Peajes Circular CNMC'!$C$16,'Peajes Circular CNMC'!$B$16,IF(B25/1000&gt;'Peajes Circular CNMC'!$C$15,'Peajes Circular CNMC'!$B$15,IF(B25/1000&gt;'Peajes Circular CNMC'!$C$14,'Peajes Circular CNMC'!$B$14,'Peajes Circular CNMC'!$B$13))))))))))</f>
        <v>D.4</v>
      </c>
      <c r="K25" s="87">
        <f>VLOOKUP(J25,'Peajes Circular CNMC'!$B$13:$J$23,8,FALSE)</f>
        <v>45.389000000000003</v>
      </c>
      <c r="L25" s="87">
        <f>VLOOKUP(J25,'Peajes Circular CNMC'!$B$13:$J$23,9,FALSE)/1000</f>
        <v>1.4335000000000001E-2</v>
      </c>
      <c r="M25" s="123">
        <f t="shared" si="9"/>
        <v>544.66800000000001</v>
      </c>
      <c r="N25" s="123">
        <f t="shared" si="10"/>
        <v>4300.5</v>
      </c>
      <c r="O25" s="122">
        <f t="shared" si="5"/>
        <v>16.150559999999999</v>
      </c>
    </row>
    <row r="26" spans="2:15">
      <c r="B26" s="105">
        <v>300001</v>
      </c>
      <c r="C26" s="76" t="str">
        <f>IF(B26/1000&gt;'Peajes Actuales'!$C$14,'Peajes Actuales'!$B$14,IF(B26/1000&gt;'Peajes Actuales'!$C$13,'Peajes Actuales'!$B$13,IF(B26/1000&gt;'Peajes Actuales'!$C$12,'Peajes Actuales'!$B$12,'Peajes Actuales'!$B$11)))</f>
        <v>3.4</v>
      </c>
      <c r="D26" s="87">
        <f>VLOOKUP(C26,'Peajes Actuales'!$B$11:$J$14,8,FALSE)</f>
        <v>80.97</v>
      </c>
      <c r="E26" s="90">
        <f>VLOOKUP(C26,'Peajes Actuales'!$B$11:$J$14,9,FALSE)/1000</f>
        <v>1.3012000000000001E-2</v>
      </c>
      <c r="F26" s="123">
        <f t="shared" ref="F26:F34" si="11">D26*12</f>
        <v>971.64</v>
      </c>
      <c r="G26" s="123">
        <f t="shared" ref="G26:G34" si="12">B26*E26</f>
        <v>3903.6130120000003</v>
      </c>
      <c r="H26" s="122">
        <f t="shared" si="2"/>
        <v>16.250789204035989</v>
      </c>
      <c r="J26" s="76" t="str">
        <f>IF(B26/1000&gt;'Peajes Circular CNMC'!$C$23,'Peajes Circular CNMC'!$B$23,IF(B26/1000&gt;'Peajes Circular CNMC'!$C$22,'Peajes Circular CNMC'!$B$22,IF(B26/1000&gt;'Peajes Circular CNMC'!$C$21,'Peajes Circular CNMC'!$B$21,IF(B26/1000&gt;'Peajes Circular CNMC'!$C$20,'Peajes Circular CNMC'!$B$20,IF(B26/1000&gt;'Peajes Circular CNMC'!$C$19,'Peajes Circular CNMC'!$B$19,IF(B26/1000&gt;'Peajes Circular CNMC'!$C$18,'Peajes Circular CNMC'!$B$18,IF(B26/1000&gt;'Peajes Circular CNMC'!$C$17,'Peajes Circular CNMC'!$B$17,IF(B26/1000&gt;'Peajes Circular CNMC'!$C$16,'Peajes Circular CNMC'!$B$16,IF(B26/1000&gt;'Peajes Circular CNMC'!$C$15,'Peajes Circular CNMC'!$B$15,IF(B26/1000&gt;'Peajes Circular CNMC'!$C$14,'Peajes Circular CNMC'!$B$14,'Peajes Circular CNMC'!$B$13))))))))))</f>
        <v>D.5</v>
      </c>
      <c r="K26" s="87">
        <f>VLOOKUP(J26,'Peajes Circular CNMC'!$B$13:$J$23,8,FALSE)</f>
        <v>221.929</v>
      </c>
      <c r="L26" s="87">
        <f>VLOOKUP(J26,'Peajes Circular CNMC'!$B$13:$J$23,9,FALSE)/1000</f>
        <v>1.4445E-2</v>
      </c>
      <c r="M26" s="123">
        <f t="shared" ref="M26:M34" si="13">12*K26</f>
        <v>2663.1480000000001</v>
      </c>
      <c r="N26" s="123">
        <f t="shared" ref="N26:N34" si="14">L26*B26</f>
        <v>4333.5144449999998</v>
      </c>
      <c r="O26" s="122">
        <f t="shared" si="5"/>
        <v>23.322130409565304</v>
      </c>
    </row>
    <row r="27" spans="2:15">
      <c r="B27" s="105">
        <v>500000</v>
      </c>
      <c r="C27" s="76" t="str">
        <f>IF(B27/1000&gt;'Peajes Actuales'!$C$14,'Peajes Actuales'!$B$14,IF(B27/1000&gt;'Peajes Actuales'!$C$13,'Peajes Actuales'!$B$13,IF(B27/1000&gt;'Peajes Actuales'!$C$12,'Peajes Actuales'!$B$12,'Peajes Actuales'!$B$11)))</f>
        <v>3.4</v>
      </c>
      <c r="D27" s="87">
        <f>VLOOKUP(C27,'Peajes Actuales'!$B$11:$J$14,8,FALSE)</f>
        <v>80.97</v>
      </c>
      <c r="E27" s="90">
        <f>VLOOKUP(C27,'Peajes Actuales'!$B$11:$J$14,9,FALSE)/1000</f>
        <v>1.3012000000000001E-2</v>
      </c>
      <c r="F27" s="123">
        <f t="shared" si="11"/>
        <v>971.64</v>
      </c>
      <c r="G27" s="123">
        <f t="shared" si="12"/>
        <v>6506.0000000000009</v>
      </c>
      <c r="H27" s="122">
        <f t="shared" si="2"/>
        <v>14.955280000000002</v>
      </c>
      <c r="J27" s="76" t="str">
        <f>IF(B27/1000&gt;'Peajes Circular CNMC'!$C$23,'Peajes Circular CNMC'!$B$23,IF(B27/1000&gt;'Peajes Circular CNMC'!$C$22,'Peajes Circular CNMC'!$B$22,IF(B27/1000&gt;'Peajes Circular CNMC'!$C$21,'Peajes Circular CNMC'!$B$21,IF(B27/1000&gt;'Peajes Circular CNMC'!$C$20,'Peajes Circular CNMC'!$B$20,IF(B27/1000&gt;'Peajes Circular CNMC'!$C$19,'Peajes Circular CNMC'!$B$19,IF(B27/1000&gt;'Peajes Circular CNMC'!$C$18,'Peajes Circular CNMC'!$B$18,IF(B27/1000&gt;'Peajes Circular CNMC'!$C$17,'Peajes Circular CNMC'!$B$17,IF(B27/1000&gt;'Peajes Circular CNMC'!$C$16,'Peajes Circular CNMC'!$B$16,IF(B27/1000&gt;'Peajes Circular CNMC'!$C$15,'Peajes Circular CNMC'!$B$15,IF(B27/1000&gt;'Peajes Circular CNMC'!$C$14,'Peajes Circular CNMC'!$B$14,'Peajes Circular CNMC'!$B$13))))))))))</f>
        <v>D.5</v>
      </c>
      <c r="K27" s="87">
        <f>VLOOKUP(J27,'Peajes Circular CNMC'!$B$13:$J$23,8,FALSE)</f>
        <v>221.929</v>
      </c>
      <c r="L27" s="87">
        <f>VLOOKUP(J27,'Peajes Circular CNMC'!$B$13:$J$23,9,FALSE)/1000</f>
        <v>1.4445E-2</v>
      </c>
      <c r="M27" s="123">
        <f t="shared" si="13"/>
        <v>2663.1480000000001</v>
      </c>
      <c r="N27" s="123">
        <f t="shared" si="14"/>
        <v>7222.5</v>
      </c>
      <c r="O27" s="122">
        <f t="shared" si="5"/>
        <v>19.771296000000003</v>
      </c>
    </row>
    <row r="28" spans="2:15">
      <c r="B28" s="105">
        <v>1000000</v>
      </c>
      <c r="C28" s="76" t="str">
        <f>IF(B28/1000&gt;'Peajes Actuales'!$C$14,'Peajes Actuales'!$B$14,IF(B28/1000&gt;'Peajes Actuales'!$C$13,'Peajes Actuales'!$B$13,IF(B28/1000&gt;'Peajes Actuales'!$C$12,'Peajes Actuales'!$B$12,'Peajes Actuales'!$B$11)))</f>
        <v>3.4</v>
      </c>
      <c r="D28" s="87">
        <f>VLOOKUP(C28,'Peajes Actuales'!$B$11:$J$14,8,FALSE)</f>
        <v>80.97</v>
      </c>
      <c r="E28" s="90">
        <f>VLOOKUP(C28,'Peajes Actuales'!$B$11:$J$14,9,FALSE)/1000</f>
        <v>1.3012000000000001E-2</v>
      </c>
      <c r="F28" s="123">
        <f t="shared" si="11"/>
        <v>971.64</v>
      </c>
      <c r="G28" s="123">
        <f t="shared" si="12"/>
        <v>13012.000000000002</v>
      </c>
      <c r="H28" s="122">
        <f t="shared" si="2"/>
        <v>13.983640000000001</v>
      </c>
      <c r="J28" s="76" t="str">
        <f>IF(B28/1000&gt;'Peajes Circular CNMC'!$C$23,'Peajes Circular CNMC'!$B$23,IF(B28/1000&gt;'Peajes Circular CNMC'!$C$22,'Peajes Circular CNMC'!$B$22,IF(B28/1000&gt;'Peajes Circular CNMC'!$C$21,'Peajes Circular CNMC'!$B$21,IF(B28/1000&gt;'Peajes Circular CNMC'!$C$20,'Peajes Circular CNMC'!$B$20,IF(B28/1000&gt;'Peajes Circular CNMC'!$C$19,'Peajes Circular CNMC'!$B$19,IF(B28/1000&gt;'Peajes Circular CNMC'!$C$18,'Peajes Circular CNMC'!$B$18,IF(B28/1000&gt;'Peajes Circular CNMC'!$C$17,'Peajes Circular CNMC'!$B$17,IF(B28/1000&gt;'Peajes Circular CNMC'!$C$16,'Peajes Circular CNMC'!$B$16,IF(B28/1000&gt;'Peajes Circular CNMC'!$C$15,'Peajes Circular CNMC'!$B$15,IF(B28/1000&gt;'Peajes Circular CNMC'!$C$14,'Peajes Circular CNMC'!$B$14,'Peajes Circular CNMC'!$B$13))))))))))</f>
        <v>D.5</v>
      </c>
      <c r="K28" s="87">
        <f>VLOOKUP(J28,'Peajes Circular CNMC'!$B$13:$J$23,8,FALSE)</f>
        <v>221.929</v>
      </c>
      <c r="L28" s="87">
        <f>VLOOKUP(J28,'Peajes Circular CNMC'!$B$13:$J$23,9,FALSE)/1000</f>
        <v>1.4445E-2</v>
      </c>
      <c r="M28" s="123">
        <f t="shared" si="13"/>
        <v>2663.1480000000001</v>
      </c>
      <c r="N28" s="123">
        <f t="shared" si="14"/>
        <v>14445</v>
      </c>
      <c r="O28" s="122">
        <f t="shared" si="5"/>
        <v>17.108148</v>
      </c>
    </row>
    <row r="29" spans="2:15">
      <c r="B29" s="105">
        <v>1500000</v>
      </c>
      <c r="C29" s="76" t="str">
        <f>IF(B29/1000&gt;'Peajes Actuales'!$C$14,'Peajes Actuales'!$B$14,IF(B29/1000&gt;'Peajes Actuales'!$C$13,'Peajes Actuales'!$B$13,IF(B29/1000&gt;'Peajes Actuales'!$C$12,'Peajes Actuales'!$B$12,'Peajes Actuales'!$B$11)))</f>
        <v>3.4</v>
      </c>
      <c r="D29" s="87">
        <f>VLOOKUP(C29,'Peajes Actuales'!$B$11:$J$14,8,FALSE)</f>
        <v>80.97</v>
      </c>
      <c r="E29" s="90">
        <f>VLOOKUP(C29,'Peajes Actuales'!$B$11:$J$14,9,FALSE)/1000</f>
        <v>1.3012000000000001E-2</v>
      </c>
      <c r="F29" s="123">
        <f t="shared" si="11"/>
        <v>971.64</v>
      </c>
      <c r="G29" s="123">
        <f t="shared" si="12"/>
        <v>19518</v>
      </c>
      <c r="H29" s="122">
        <f t="shared" si="2"/>
        <v>13.65976</v>
      </c>
      <c r="J29" s="76" t="str">
        <f>IF(B29/1000&gt;'Peajes Circular CNMC'!$C$23,'Peajes Circular CNMC'!$B$23,IF(B29/1000&gt;'Peajes Circular CNMC'!$C$22,'Peajes Circular CNMC'!$B$22,IF(B29/1000&gt;'Peajes Circular CNMC'!$C$21,'Peajes Circular CNMC'!$B$21,IF(B29/1000&gt;'Peajes Circular CNMC'!$C$20,'Peajes Circular CNMC'!$B$20,IF(B29/1000&gt;'Peajes Circular CNMC'!$C$19,'Peajes Circular CNMC'!$B$19,IF(B29/1000&gt;'Peajes Circular CNMC'!$C$18,'Peajes Circular CNMC'!$B$18,IF(B29/1000&gt;'Peajes Circular CNMC'!$C$17,'Peajes Circular CNMC'!$B$17,IF(B29/1000&gt;'Peajes Circular CNMC'!$C$16,'Peajes Circular CNMC'!$B$16,IF(B29/1000&gt;'Peajes Circular CNMC'!$C$15,'Peajes Circular CNMC'!$B$15,IF(B29/1000&gt;'Peajes Circular CNMC'!$C$14,'Peajes Circular CNMC'!$B$14,'Peajes Circular CNMC'!$B$13))))))))))</f>
        <v>D.5</v>
      </c>
      <c r="K29" s="87">
        <f>VLOOKUP(J29,'Peajes Circular CNMC'!$B$13:$J$23,8,FALSE)</f>
        <v>221.929</v>
      </c>
      <c r="L29" s="87">
        <f>VLOOKUP(J29,'Peajes Circular CNMC'!$B$13:$J$23,9,FALSE)/1000</f>
        <v>1.4445E-2</v>
      </c>
      <c r="M29" s="123">
        <f t="shared" si="13"/>
        <v>2663.1480000000001</v>
      </c>
      <c r="N29" s="123">
        <f t="shared" si="14"/>
        <v>21667.5</v>
      </c>
      <c r="O29" s="122">
        <f t="shared" si="5"/>
        <v>16.220432000000002</v>
      </c>
    </row>
    <row r="30" spans="2:15">
      <c r="B30" s="105">
        <v>1500001</v>
      </c>
      <c r="C30" s="76" t="str">
        <f>IF(B30/1000&gt;'Peajes Actuales'!$C$14,'Peajes Actuales'!$B$14,IF(B30/1000&gt;'Peajes Actuales'!$C$13,'Peajes Actuales'!$B$13,IF(B30/1000&gt;'Peajes Actuales'!$C$12,'Peajes Actuales'!$B$12,'Peajes Actuales'!$B$11)))</f>
        <v>3.4</v>
      </c>
      <c r="D30" s="87">
        <f>VLOOKUP(C30,'Peajes Actuales'!$B$11:$J$14,8,FALSE)</f>
        <v>80.97</v>
      </c>
      <c r="E30" s="90">
        <f>VLOOKUP(C30,'Peajes Actuales'!$B$11:$J$14,9,FALSE)/1000</f>
        <v>1.3012000000000001E-2</v>
      </c>
      <c r="F30" s="123">
        <f t="shared" si="11"/>
        <v>971.64</v>
      </c>
      <c r="G30" s="123">
        <f t="shared" si="12"/>
        <v>19518.013012000003</v>
      </c>
      <c r="H30" s="122">
        <f t="shared" si="2"/>
        <v>13.65975956816029</v>
      </c>
      <c r="J30" s="76" t="str">
        <f>IF(B30/1000&gt;'Peajes Circular CNMC'!$C$23,'Peajes Circular CNMC'!$B$23,IF(B30/1000&gt;'Peajes Circular CNMC'!$C$22,'Peajes Circular CNMC'!$B$22,IF(B30/1000&gt;'Peajes Circular CNMC'!$C$21,'Peajes Circular CNMC'!$B$21,IF(B30/1000&gt;'Peajes Circular CNMC'!$C$20,'Peajes Circular CNMC'!$B$20,IF(B30/1000&gt;'Peajes Circular CNMC'!$C$19,'Peajes Circular CNMC'!$B$19,IF(B30/1000&gt;'Peajes Circular CNMC'!$C$18,'Peajes Circular CNMC'!$B$18,IF(B30/1000&gt;'Peajes Circular CNMC'!$C$17,'Peajes Circular CNMC'!$B$17,IF(B30/1000&gt;'Peajes Circular CNMC'!$C$16,'Peajes Circular CNMC'!$B$16,IF(B30/1000&gt;'Peajes Circular CNMC'!$C$15,'Peajes Circular CNMC'!$B$15,IF(B30/1000&gt;'Peajes Circular CNMC'!$C$14,'Peajes Circular CNMC'!$B$14,'Peajes Circular CNMC'!$B$13))))))))))</f>
        <v>D.6</v>
      </c>
      <c r="K30" s="87">
        <f>VLOOKUP(J30,'Peajes Circular CNMC'!$B$13:$J$23,8,FALSE)</f>
        <v>1110.8520000000001</v>
      </c>
      <c r="L30" s="87">
        <f>VLOOKUP(J30,'Peajes Circular CNMC'!$B$13:$J$23,9,FALSE)/1000</f>
        <v>8.7019999999999997E-3</v>
      </c>
      <c r="M30" s="123">
        <f t="shared" si="13"/>
        <v>13330.224000000002</v>
      </c>
      <c r="N30" s="123">
        <f t="shared" si="14"/>
        <v>13053.008701999999</v>
      </c>
      <c r="O30" s="122">
        <f t="shared" si="5"/>
        <v>17.58881007545995</v>
      </c>
    </row>
    <row r="31" spans="2:15">
      <c r="B31" s="105">
        <v>2000000</v>
      </c>
      <c r="C31" s="76" t="str">
        <f>IF(B31/1000&gt;'Peajes Actuales'!$C$14,'Peajes Actuales'!$B$14,IF(B31/1000&gt;'Peajes Actuales'!$C$13,'Peajes Actuales'!$B$13,IF(B31/1000&gt;'Peajes Actuales'!$C$12,'Peajes Actuales'!$B$12,'Peajes Actuales'!$B$11)))</f>
        <v>3.4</v>
      </c>
      <c r="D31" s="87">
        <f>VLOOKUP(C31,'Peajes Actuales'!$B$11:$J$14,8,FALSE)</f>
        <v>80.97</v>
      </c>
      <c r="E31" s="90">
        <f>VLOOKUP(C31,'Peajes Actuales'!$B$11:$J$14,9,FALSE)/1000</f>
        <v>1.3012000000000001E-2</v>
      </c>
      <c r="F31" s="123">
        <f t="shared" si="11"/>
        <v>971.64</v>
      </c>
      <c r="G31" s="123">
        <f t="shared" si="12"/>
        <v>26024.000000000004</v>
      </c>
      <c r="H31" s="122">
        <f t="shared" si="2"/>
        <v>13.497820000000001</v>
      </c>
      <c r="J31" s="76" t="str">
        <f>IF(B31/1000&gt;'Peajes Circular CNMC'!$C$23,'Peajes Circular CNMC'!$B$23,IF(B31/1000&gt;'Peajes Circular CNMC'!$C$22,'Peajes Circular CNMC'!$B$22,IF(B31/1000&gt;'Peajes Circular CNMC'!$C$21,'Peajes Circular CNMC'!$B$21,IF(B31/1000&gt;'Peajes Circular CNMC'!$C$20,'Peajes Circular CNMC'!$B$20,IF(B31/1000&gt;'Peajes Circular CNMC'!$C$19,'Peajes Circular CNMC'!$B$19,IF(B31/1000&gt;'Peajes Circular CNMC'!$C$18,'Peajes Circular CNMC'!$B$18,IF(B31/1000&gt;'Peajes Circular CNMC'!$C$17,'Peajes Circular CNMC'!$B$17,IF(B31/1000&gt;'Peajes Circular CNMC'!$C$16,'Peajes Circular CNMC'!$B$16,IF(B31/1000&gt;'Peajes Circular CNMC'!$C$15,'Peajes Circular CNMC'!$B$15,IF(B31/1000&gt;'Peajes Circular CNMC'!$C$14,'Peajes Circular CNMC'!$B$14,'Peajes Circular CNMC'!$B$13))))))))))</f>
        <v>D.6</v>
      </c>
      <c r="K31" s="87">
        <f>VLOOKUP(J31,'Peajes Circular CNMC'!$B$13:$J$23,8,FALSE)</f>
        <v>1110.8520000000001</v>
      </c>
      <c r="L31" s="87">
        <f>VLOOKUP(J31,'Peajes Circular CNMC'!$B$13:$J$23,9,FALSE)/1000</f>
        <v>8.7019999999999997E-3</v>
      </c>
      <c r="M31" s="123">
        <f t="shared" si="13"/>
        <v>13330.224000000002</v>
      </c>
      <c r="N31" s="123">
        <f t="shared" si="14"/>
        <v>17404</v>
      </c>
      <c r="O31" s="122">
        <f t="shared" si="5"/>
        <v>15.367112000000001</v>
      </c>
    </row>
    <row r="32" spans="2:15">
      <c r="B32" s="105">
        <v>3000000</v>
      </c>
      <c r="C32" s="76" t="str">
        <f>IF(B32/1000&gt;'Peajes Actuales'!$C$14,'Peajes Actuales'!$B$14,IF(B32/1000&gt;'Peajes Actuales'!$C$13,'Peajes Actuales'!$B$13,IF(B32/1000&gt;'Peajes Actuales'!$C$12,'Peajes Actuales'!$B$12,'Peajes Actuales'!$B$11)))</f>
        <v>3.4</v>
      </c>
      <c r="D32" s="87">
        <f>VLOOKUP(C32,'Peajes Actuales'!$B$11:$J$14,8,FALSE)</f>
        <v>80.97</v>
      </c>
      <c r="E32" s="90">
        <f>VLOOKUP(C32,'Peajes Actuales'!$B$11:$J$14,9,FALSE)/1000</f>
        <v>1.3012000000000001E-2</v>
      </c>
      <c r="F32" s="123">
        <f t="shared" si="11"/>
        <v>971.64</v>
      </c>
      <c r="G32" s="123">
        <f t="shared" si="12"/>
        <v>39036</v>
      </c>
      <c r="H32" s="122">
        <f t="shared" si="2"/>
        <v>13.33588</v>
      </c>
      <c r="J32" s="76" t="str">
        <f>IF(B32/1000&gt;'Peajes Circular CNMC'!$C$23,'Peajes Circular CNMC'!$B$23,IF(B32/1000&gt;'Peajes Circular CNMC'!$C$22,'Peajes Circular CNMC'!$B$22,IF(B32/1000&gt;'Peajes Circular CNMC'!$C$21,'Peajes Circular CNMC'!$B$21,IF(B32/1000&gt;'Peajes Circular CNMC'!$C$20,'Peajes Circular CNMC'!$B$20,IF(B32/1000&gt;'Peajes Circular CNMC'!$C$19,'Peajes Circular CNMC'!$B$19,IF(B32/1000&gt;'Peajes Circular CNMC'!$C$18,'Peajes Circular CNMC'!$B$18,IF(B32/1000&gt;'Peajes Circular CNMC'!$C$17,'Peajes Circular CNMC'!$B$17,IF(B32/1000&gt;'Peajes Circular CNMC'!$C$16,'Peajes Circular CNMC'!$B$16,IF(B32/1000&gt;'Peajes Circular CNMC'!$C$15,'Peajes Circular CNMC'!$B$15,IF(B32/1000&gt;'Peajes Circular CNMC'!$C$14,'Peajes Circular CNMC'!$B$14,'Peajes Circular CNMC'!$B$13))))))))))</f>
        <v>D.6</v>
      </c>
      <c r="K32" s="87">
        <f>VLOOKUP(J32,'Peajes Circular CNMC'!$B$13:$J$23,8,FALSE)</f>
        <v>1110.8520000000001</v>
      </c>
      <c r="L32" s="87">
        <f>VLOOKUP(J32,'Peajes Circular CNMC'!$B$13:$J$23,9,FALSE)/1000</f>
        <v>8.7019999999999997E-3</v>
      </c>
      <c r="M32" s="123">
        <f t="shared" si="13"/>
        <v>13330.224000000002</v>
      </c>
      <c r="N32" s="123">
        <f t="shared" si="14"/>
        <v>26106</v>
      </c>
      <c r="O32" s="122">
        <f t="shared" si="5"/>
        <v>13.145408000000002</v>
      </c>
    </row>
    <row r="33" spans="2:15">
      <c r="B33" s="105">
        <v>4000000</v>
      </c>
      <c r="C33" s="76" t="str">
        <f>IF(B33/1000&gt;'Peajes Actuales'!$C$14,'Peajes Actuales'!$B$14,IF(B33/1000&gt;'Peajes Actuales'!$C$13,'Peajes Actuales'!$B$13,IF(B33/1000&gt;'Peajes Actuales'!$C$12,'Peajes Actuales'!$B$12,'Peajes Actuales'!$B$11)))</f>
        <v>3.4</v>
      </c>
      <c r="D33" s="87">
        <f>VLOOKUP(C33,'Peajes Actuales'!$B$11:$J$14,8,FALSE)</f>
        <v>80.97</v>
      </c>
      <c r="E33" s="90">
        <f>VLOOKUP(C33,'Peajes Actuales'!$B$11:$J$14,9,FALSE)/1000</f>
        <v>1.3012000000000001E-2</v>
      </c>
      <c r="F33" s="123">
        <f t="shared" si="11"/>
        <v>971.64</v>
      </c>
      <c r="G33" s="123">
        <f t="shared" si="12"/>
        <v>52048.000000000007</v>
      </c>
      <c r="H33" s="122">
        <f t="shared" si="2"/>
        <v>13.254910000000002</v>
      </c>
      <c r="J33" s="76" t="str">
        <f>IF(B33/1000&gt;'Peajes Circular CNMC'!$C$23,'Peajes Circular CNMC'!$B$23,IF(B33/1000&gt;'Peajes Circular CNMC'!$C$22,'Peajes Circular CNMC'!$B$22,IF(B33/1000&gt;'Peajes Circular CNMC'!$C$21,'Peajes Circular CNMC'!$B$21,IF(B33/1000&gt;'Peajes Circular CNMC'!$C$20,'Peajes Circular CNMC'!$B$20,IF(B33/1000&gt;'Peajes Circular CNMC'!$C$19,'Peajes Circular CNMC'!$B$19,IF(B33/1000&gt;'Peajes Circular CNMC'!$C$18,'Peajes Circular CNMC'!$B$18,IF(B33/1000&gt;'Peajes Circular CNMC'!$C$17,'Peajes Circular CNMC'!$B$17,IF(B33/1000&gt;'Peajes Circular CNMC'!$C$16,'Peajes Circular CNMC'!$B$16,IF(B33/1000&gt;'Peajes Circular CNMC'!$C$15,'Peajes Circular CNMC'!$B$15,IF(B33/1000&gt;'Peajes Circular CNMC'!$C$14,'Peajes Circular CNMC'!$B$14,'Peajes Circular CNMC'!$B$13))))))))))</f>
        <v>D.6</v>
      </c>
      <c r="K33" s="87">
        <f>VLOOKUP(J33,'Peajes Circular CNMC'!$B$13:$J$23,8,FALSE)</f>
        <v>1110.8520000000001</v>
      </c>
      <c r="L33" s="87">
        <f>VLOOKUP(J33,'Peajes Circular CNMC'!$B$13:$J$23,9,FALSE)/1000</f>
        <v>8.7019999999999997E-3</v>
      </c>
      <c r="M33" s="123">
        <f t="shared" si="13"/>
        <v>13330.224000000002</v>
      </c>
      <c r="N33" s="123">
        <f t="shared" si="14"/>
        <v>34808</v>
      </c>
      <c r="O33" s="122">
        <f t="shared" si="5"/>
        <v>12.034556</v>
      </c>
    </row>
    <row r="34" spans="2:15">
      <c r="B34" s="105">
        <v>5000000</v>
      </c>
      <c r="C34" s="76" t="str">
        <f>IF(B34/1000&gt;'Peajes Actuales'!$C$14,'Peajes Actuales'!$B$14,IF(B34/1000&gt;'Peajes Actuales'!$C$13,'Peajes Actuales'!$B$13,IF(B34/1000&gt;'Peajes Actuales'!$C$12,'Peajes Actuales'!$B$12,'Peajes Actuales'!$B$11)))</f>
        <v>3.4</v>
      </c>
      <c r="D34" s="87">
        <f>VLOOKUP(C34,'Peajes Actuales'!$B$11:$J$14,8,FALSE)</f>
        <v>80.97</v>
      </c>
      <c r="E34" s="90">
        <f>VLOOKUP(C34,'Peajes Actuales'!$B$11:$J$14,9,FALSE)/1000</f>
        <v>1.3012000000000001E-2</v>
      </c>
      <c r="F34" s="123">
        <f t="shared" si="11"/>
        <v>971.64</v>
      </c>
      <c r="G34" s="123">
        <f t="shared" si="12"/>
        <v>65060.000000000007</v>
      </c>
      <c r="H34" s="122">
        <f t="shared" si="2"/>
        <v>13.206328000000003</v>
      </c>
      <c r="J34" s="76" t="str">
        <f>IF(B34/1000&gt;'Peajes Circular CNMC'!$C$23,'Peajes Circular CNMC'!$B$23,IF(B34/1000&gt;'Peajes Circular CNMC'!$C$22,'Peajes Circular CNMC'!$B$22,IF(B34/1000&gt;'Peajes Circular CNMC'!$C$21,'Peajes Circular CNMC'!$B$21,IF(B34/1000&gt;'Peajes Circular CNMC'!$C$20,'Peajes Circular CNMC'!$B$20,IF(B34/1000&gt;'Peajes Circular CNMC'!$C$19,'Peajes Circular CNMC'!$B$19,IF(B34/1000&gt;'Peajes Circular CNMC'!$C$18,'Peajes Circular CNMC'!$B$18,IF(B34/1000&gt;'Peajes Circular CNMC'!$C$17,'Peajes Circular CNMC'!$B$17,IF(B34/1000&gt;'Peajes Circular CNMC'!$C$16,'Peajes Circular CNMC'!$B$16,IF(B34/1000&gt;'Peajes Circular CNMC'!$C$15,'Peajes Circular CNMC'!$B$15,IF(B34/1000&gt;'Peajes Circular CNMC'!$C$14,'Peajes Circular CNMC'!$B$14,'Peajes Circular CNMC'!$B$13))))))))))</f>
        <v>D.6</v>
      </c>
      <c r="K34" s="87">
        <f>VLOOKUP(J34,'Peajes Circular CNMC'!$B$13:$J$23,8,FALSE)</f>
        <v>1110.8520000000001</v>
      </c>
      <c r="L34" s="87">
        <f>VLOOKUP(J34,'Peajes Circular CNMC'!$B$13:$J$23,9,FALSE)/1000</f>
        <v>8.7019999999999997E-3</v>
      </c>
      <c r="M34" s="123">
        <f t="shared" si="13"/>
        <v>13330.224000000002</v>
      </c>
      <c r="N34" s="123">
        <f t="shared" si="14"/>
        <v>43510</v>
      </c>
      <c r="O34" s="122">
        <f t="shared" si="5"/>
        <v>11.3680448</v>
      </c>
    </row>
  </sheetData>
  <mergeCells count="2">
    <mergeCell ref="K2:O2"/>
    <mergeCell ref="D2:H2"/>
  </mergeCells>
  <pageMargins left="0.70866141732283472" right="0.70866141732283472" top="0.74803149606299213" bottom="0.74803149606299213" header="0.31496062992125984" footer="0.31496062992125984"/>
  <pageSetup paperSize="8" scale="62" orientation="landscape" r:id="rId1"/>
  <headerFooter>
    <oddHeader>&amp;L&amp;F&amp;R&amp;A</oddHeader>
    <oddFooter>&amp;R&amp;Z&amp;F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U36"/>
  <sheetViews>
    <sheetView showGridLines="0" topLeftCell="A19" zoomScale="90" zoomScaleNormal="90" workbookViewId="0">
      <selection activeCell="AD62" sqref="AD62"/>
    </sheetView>
  </sheetViews>
  <sheetFormatPr baseColWidth="10" defaultRowHeight="16.5"/>
  <cols>
    <col min="1" max="1" width="4.42578125" customWidth="1"/>
    <col min="2" max="2" width="8.28515625" customWidth="1"/>
    <col min="3" max="3" width="10.85546875" bestFit="1" customWidth="1"/>
    <col min="4" max="4" width="2" bestFit="1" customWidth="1"/>
    <col min="5" max="5" width="2.28515625" bestFit="1" customWidth="1"/>
    <col min="6" max="6" width="2.140625" bestFit="1" customWidth="1"/>
    <col min="7" max="7" width="9.7109375" customWidth="1"/>
    <col min="8" max="8" width="13.5703125" bestFit="1" customWidth="1"/>
    <col min="9" max="9" width="15" bestFit="1" customWidth="1"/>
    <col min="10" max="10" width="12.42578125" bestFit="1" customWidth="1"/>
    <col min="11" max="11" width="1.85546875" customWidth="1"/>
    <col min="12" max="12" width="13.140625" customWidth="1"/>
    <col min="13" max="13" width="4.42578125" customWidth="1"/>
    <col min="14" max="14" width="12.7109375" customWidth="1"/>
    <col min="15" max="15" width="12.85546875" bestFit="1" customWidth="1"/>
  </cols>
  <sheetData>
    <row r="2" spans="2:17">
      <c r="B2" s="2" t="s">
        <v>77</v>
      </c>
    </row>
    <row r="3" spans="2:17">
      <c r="I3" s="24" t="s">
        <v>49</v>
      </c>
    </row>
    <row r="4" spans="2:17">
      <c r="I4" s="4" t="s">
        <v>58</v>
      </c>
    </row>
    <row r="5" spans="2:17">
      <c r="I5" s="27">
        <v>10.848000000000001</v>
      </c>
    </row>
    <row r="7" spans="2:17">
      <c r="B7" s="2" t="s">
        <v>76</v>
      </c>
    </row>
    <row r="8" spans="2:17">
      <c r="N8" s="2" t="s">
        <v>46</v>
      </c>
    </row>
    <row r="9" spans="2:17">
      <c r="H9" s="29" t="s">
        <v>49</v>
      </c>
      <c r="I9" s="29" t="s">
        <v>50</v>
      </c>
      <c r="J9" s="29" t="s">
        <v>51</v>
      </c>
      <c r="L9" s="29" t="s">
        <v>78</v>
      </c>
      <c r="N9" s="29" t="s">
        <v>62</v>
      </c>
      <c r="O9" s="29" t="s">
        <v>13</v>
      </c>
      <c r="P9" s="29" t="s">
        <v>14</v>
      </c>
      <c r="Q9" s="29" t="s">
        <v>15</v>
      </c>
    </row>
    <row r="10" spans="2:17">
      <c r="B10" s="24" t="s">
        <v>0</v>
      </c>
      <c r="C10" s="235" t="s">
        <v>80</v>
      </c>
      <c r="D10" s="236"/>
      <c r="E10" s="236"/>
      <c r="F10" s="236"/>
      <c r="G10" s="237"/>
      <c r="H10" s="31" t="s">
        <v>58</v>
      </c>
      <c r="I10" s="31" t="s">
        <v>35</v>
      </c>
      <c r="J10" s="31" t="s">
        <v>12</v>
      </c>
      <c r="L10" s="30" t="s">
        <v>79</v>
      </c>
      <c r="N10" s="3" t="s">
        <v>16</v>
      </c>
      <c r="O10" s="12"/>
      <c r="P10" s="13">
        <v>2.2999999999999998</v>
      </c>
      <c r="Q10" s="13">
        <v>0.15</v>
      </c>
    </row>
    <row r="11" spans="2:17">
      <c r="B11" s="23" t="s">
        <v>65</v>
      </c>
      <c r="C11" s="58"/>
      <c r="D11" s="37"/>
      <c r="E11" s="37" t="s">
        <v>10</v>
      </c>
      <c r="F11" s="37" t="s">
        <v>8</v>
      </c>
      <c r="G11" s="62">
        <v>5</v>
      </c>
      <c r="H11" s="38"/>
      <c r="I11" s="47">
        <v>2.5299999999999998</v>
      </c>
      <c r="J11" s="40">
        <v>29.286999999999999</v>
      </c>
      <c r="L11" s="40">
        <v>0.61199999999999999</v>
      </c>
      <c r="N11" s="3" t="s">
        <v>17</v>
      </c>
      <c r="O11" s="14">
        <v>1.91</v>
      </c>
      <c r="P11" s="13">
        <v>2</v>
      </c>
      <c r="Q11" s="13">
        <v>0.13</v>
      </c>
    </row>
    <row r="12" spans="2:17">
      <c r="B12" s="23" t="s">
        <v>66</v>
      </c>
      <c r="C12" s="59">
        <f>G11</f>
        <v>5</v>
      </c>
      <c r="D12" s="37" t="s">
        <v>9</v>
      </c>
      <c r="E12" s="37" t="s">
        <v>10</v>
      </c>
      <c r="F12" s="37" t="s">
        <v>8</v>
      </c>
      <c r="G12" s="62">
        <v>50</v>
      </c>
      <c r="H12" s="38"/>
      <c r="I12" s="47">
        <v>5.79</v>
      </c>
      <c r="J12" s="43">
        <v>22.413</v>
      </c>
      <c r="L12" s="43">
        <v>0.61499999999999999</v>
      </c>
      <c r="N12" s="3" t="s">
        <v>18</v>
      </c>
      <c r="O12" s="15"/>
      <c r="P12" s="13">
        <v>1.9</v>
      </c>
      <c r="Q12" s="13">
        <v>0.13</v>
      </c>
    </row>
    <row r="13" spans="2:17">
      <c r="B13" s="23" t="s">
        <v>67</v>
      </c>
      <c r="C13" s="59">
        <f t="shared" ref="C13:C14" si="0">G12</f>
        <v>50</v>
      </c>
      <c r="D13" s="37" t="s">
        <v>9</v>
      </c>
      <c r="E13" s="37" t="s">
        <v>10</v>
      </c>
      <c r="F13" s="37" t="s">
        <v>8</v>
      </c>
      <c r="G13" s="62">
        <v>100</v>
      </c>
      <c r="H13" s="38"/>
      <c r="I13" s="47">
        <v>54.22</v>
      </c>
      <c r="J13" s="43">
        <v>16.117000000000001</v>
      </c>
      <c r="L13" s="43">
        <v>0.61599999999999999</v>
      </c>
      <c r="N13" s="3" t="s">
        <v>19</v>
      </c>
      <c r="O13" s="12"/>
      <c r="P13" s="13">
        <v>1.4</v>
      </c>
      <c r="Q13" s="13">
        <v>0.09</v>
      </c>
    </row>
    <row r="14" spans="2:17" ht="17.25" thickBot="1">
      <c r="B14" s="54" t="s">
        <v>68</v>
      </c>
      <c r="C14" s="60">
        <f t="shared" si="0"/>
        <v>100</v>
      </c>
      <c r="D14" s="55" t="s">
        <v>9</v>
      </c>
      <c r="E14" s="55" t="s">
        <v>10</v>
      </c>
      <c r="F14" s="55" t="s">
        <v>9</v>
      </c>
      <c r="G14" s="63">
        <v>8000</v>
      </c>
      <c r="H14" s="56"/>
      <c r="I14" s="120">
        <v>80.97</v>
      </c>
      <c r="J14" s="57">
        <v>13.012</v>
      </c>
      <c r="L14" s="57">
        <v>0.72199999999999998</v>
      </c>
      <c r="N14" s="3" t="s">
        <v>20</v>
      </c>
      <c r="O14" s="14">
        <v>1.21</v>
      </c>
      <c r="P14" s="13">
        <v>1.2</v>
      </c>
      <c r="Q14" s="13">
        <v>0.09</v>
      </c>
    </row>
    <row r="15" spans="2:17" ht="17.25" thickBot="1">
      <c r="B15" s="114" t="s">
        <v>69</v>
      </c>
      <c r="C15" s="115">
        <f>G14</f>
        <v>8000</v>
      </c>
      <c r="D15" s="127" t="s">
        <v>8</v>
      </c>
      <c r="E15" s="116" t="s">
        <v>10</v>
      </c>
      <c r="F15" s="116"/>
      <c r="G15" s="117"/>
      <c r="H15" s="118">
        <v>59.258000000000003</v>
      </c>
      <c r="I15" s="118"/>
      <c r="J15" s="119">
        <v>2.0099999999999998</v>
      </c>
      <c r="L15" s="121">
        <v>0.32400000000000001</v>
      </c>
      <c r="N15" s="3" t="s">
        <v>21</v>
      </c>
      <c r="O15" s="15"/>
      <c r="P15" s="13">
        <v>1</v>
      </c>
      <c r="Q15" s="13">
        <v>0.08</v>
      </c>
    </row>
    <row r="16" spans="2:17">
      <c r="B16" s="50" t="s">
        <v>70</v>
      </c>
      <c r="C16" s="61"/>
      <c r="D16" s="51"/>
      <c r="E16" s="51" t="s">
        <v>10</v>
      </c>
      <c r="F16" s="51" t="s">
        <v>8</v>
      </c>
      <c r="G16" s="64">
        <v>500</v>
      </c>
      <c r="H16" s="52">
        <v>253.05500000000001</v>
      </c>
      <c r="I16" s="52"/>
      <c r="J16" s="53">
        <v>1.9339999999999999</v>
      </c>
      <c r="N16" s="3" t="s">
        <v>22</v>
      </c>
      <c r="O16" s="12"/>
      <c r="P16" s="13">
        <v>1.2</v>
      </c>
      <c r="Q16" s="13">
        <v>0.08</v>
      </c>
    </row>
    <row r="17" spans="2:21">
      <c r="B17" s="23" t="s">
        <v>71</v>
      </c>
      <c r="C17" s="59">
        <f>G16</f>
        <v>500</v>
      </c>
      <c r="D17" s="37" t="s">
        <v>9</v>
      </c>
      <c r="E17" s="37" t="s">
        <v>10</v>
      </c>
      <c r="F17" s="37" t="s">
        <v>8</v>
      </c>
      <c r="G17" s="62">
        <v>5000</v>
      </c>
      <c r="H17" s="40">
        <v>68.683000000000007</v>
      </c>
      <c r="I17" s="38"/>
      <c r="J17" s="40">
        <v>1.5429999999999999</v>
      </c>
      <c r="N17" s="3" t="s">
        <v>23</v>
      </c>
      <c r="O17" s="14">
        <v>1.08</v>
      </c>
      <c r="P17" s="13">
        <v>1</v>
      </c>
      <c r="Q17" s="13">
        <v>7.0000000000000007E-2</v>
      </c>
    </row>
    <row r="18" spans="2:21">
      <c r="B18" s="23" t="s">
        <v>72</v>
      </c>
      <c r="C18" s="59">
        <f t="shared" ref="C18:C21" si="1">G17</f>
        <v>5000</v>
      </c>
      <c r="D18" s="37" t="s">
        <v>9</v>
      </c>
      <c r="E18" s="37" t="s">
        <v>10</v>
      </c>
      <c r="F18" s="37" t="s">
        <v>8</v>
      </c>
      <c r="G18" s="62">
        <v>30000</v>
      </c>
      <c r="H18" s="40">
        <v>44.970999999999997</v>
      </c>
      <c r="I18" s="38"/>
      <c r="J18" s="39">
        <v>1.2490000000000001</v>
      </c>
      <c r="N18" s="3" t="s">
        <v>24</v>
      </c>
      <c r="O18" s="15"/>
      <c r="P18" s="13">
        <v>1.2</v>
      </c>
      <c r="Q18" s="13">
        <v>0.08</v>
      </c>
    </row>
    <row r="19" spans="2:21">
      <c r="B19" s="23" t="s">
        <v>73</v>
      </c>
      <c r="C19" s="59">
        <f t="shared" si="1"/>
        <v>30000</v>
      </c>
      <c r="D19" s="37" t="s">
        <v>9</v>
      </c>
      <c r="E19" s="37" t="s">
        <v>10</v>
      </c>
      <c r="F19" s="37" t="s">
        <v>8</v>
      </c>
      <c r="G19" s="62">
        <v>100000</v>
      </c>
      <c r="H19" s="40">
        <v>41.21</v>
      </c>
      <c r="I19" s="38"/>
      <c r="J19" s="40">
        <v>1.121</v>
      </c>
      <c r="N19" s="3" t="s">
        <v>25</v>
      </c>
      <c r="O19" s="12"/>
      <c r="P19" s="13">
        <v>1.3</v>
      </c>
      <c r="Q19" s="13">
        <v>0.09</v>
      </c>
    </row>
    <row r="20" spans="2:21">
      <c r="B20" s="23" t="s">
        <v>74</v>
      </c>
      <c r="C20" s="59">
        <f t="shared" si="1"/>
        <v>100000</v>
      </c>
      <c r="D20" s="37" t="s">
        <v>9</v>
      </c>
      <c r="E20" s="37" t="s">
        <v>10</v>
      </c>
      <c r="F20" s="37" t="s">
        <v>8</v>
      </c>
      <c r="G20" s="62">
        <v>500000</v>
      </c>
      <c r="H20" s="40">
        <v>37.887</v>
      </c>
      <c r="I20" s="38"/>
      <c r="J20" s="43">
        <v>0.98299999999999998</v>
      </c>
      <c r="N20" s="3" t="s">
        <v>26</v>
      </c>
      <c r="O20" s="14">
        <v>1.36</v>
      </c>
      <c r="P20" s="13">
        <v>1.4</v>
      </c>
      <c r="Q20" s="13">
        <v>0.09</v>
      </c>
    </row>
    <row r="21" spans="2:21">
      <c r="B21" s="23" t="s">
        <v>75</v>
      </c>
      <c r="C21" s="59">
        <f t="shared" si="1"/>
        <v>500000</v>
      </c>
      <c r="D21" s="37" t="s">
        <v>9</v>
      </c>
      <c r="E21" s="37" t="s">
        <v>10</v>
      </c>
      <c r="F21" s="37"/>
      <c r="G21" s="62"/>
      <c r="H21" s="40">
        <v>34.847999999999999</v>
      </c>
      <c r="I21" s="38"/>
      <c r="J21" s="43">
        <v>0.85199999999999998</v>
      </c>
      <c r="N21" s="3" t="s">
        <v>27</v>
      </c>
      <c r="O21" s="15"/>
      <c r="P21" s="13">
        <v>1.6</v>
      </c>
      <c r="Q21" s="13">
        <v>0.11</v>
      </c>
    </row>
    <row r="22" spans="2:21">
      <c r="E22" s="1"/>
    </row>
    <row r="23" spans="2:21">
      <c r="E23" s="1"/>
    </row>
    <row r="24" spans="2:21">
      <c r="B24" s="2" t="s">
        <v>59</v>
      </c>
    </row>
    <row r="25" spans="2:21">
      <c r="H25" s="29" t="s">
        <v>49</v>
      </c>
      <c r="I25" s="29" t="s">
        <v>51</v>
      </c>
      <c r="S25" s="2" t="s">
        <v>121</v>
      </c>
    </row>
    <row r="26" spans="2:21">
      <c r="H26" s="31" t="s">
        <v>56</v>
      </c>
      <c r="I26" s="31" t="s">
        <v>57</v>
      </c>
      <c r="S26" s="2" t="s">
        <v>120</v>
      </c>
    </row>
    <row r="27" spans="2:21">
      <c r="H27" s="32">
        <v>1.9612000000000001</v>
      </c>
      <c r="I27" s="32">
        <v>1.1599999999999999E-2</v>
      </c>
      <c r="S27" s="2" t="s">
        <v>109</v>
      </c>
    </row>
    <row r="28" spans="2:21" ht="18">
      <c r="H28" s="31" t="s">
        <v>58</v>
      </c>
      <c r="I28" s="31" t="s">
        <v>12</v>
      </c>
      <c r="R28" s="186"/>
      <c r="S28" s="140" t="s">
        <v>110</v>
      </c>
      <c r="T28" s="141"/>
      <c r="U28" s="13">
        <v>0.05</v>
      </c>
    </row>
    <row r="29" spans="2:21">
      <c r="H29" s="36">
        <f>1000*H27/100</f>
        <v>19.612000000000002</v>
      </c>
      <c r="I29" s="36">
        <f>1000*I27/100</f>
        <v>0.11599999999999999</v>
      </c>
      <c r="S29" s="131" t="s">
        <v>111</v>
      </c>
      <c r="T29" s="132" t="s">
        <v>112</v>
      </c>
      <c r="U29" s="4">
        <v>15.75</v>
      </c>
    </row>
    <row r="30" spans="2:21">
      <c r="S30" s="170" t="s">
        <v>119</v>
      </c>
      <c r="T30" s="149"/>
      <c r="U30" s="150">
        <f>U28/U29</f>
        <v>3.1746031746031746E-3</v>
      </c>
    </row>
    <row r="31" spans="2:21">
      <c r="B31" s="2" t="s">
        <v>81</v>
      </c>
    </row>
    <row r="32" spans="2:21">
      <c r="H32" s="29" t="s">
        <v>49</v>
      </c>
      <c r="I32" s="29" t="s">
        <v>51</v>
      </c>
    </row>
    <row r="33" spans="8:9">
      <c r="H33" s="31" t="s">
        <v>56</v>
      </c>
      <c r="I33" s="31" t="s">
        <v>57</v>
      </c>
    </row>
    <row r="34" spans="8:9">
      <c r="H34" s="32">
        <v>2.8805999999999998</v>
      </c>
      <c r="I34" s="32">
        <v>1.7100000000000001E-2</v>
      </c>
    </row>
    <row r="35" spans="8:9">
      <c r="H35" s="31" t="s">
        <v>58</v>
      </c>
      <c r="I35" s="31" t="s">
        <v>12</v>
      </c>
    </row>
    <row r="36" spans="8:9">
      <c r="H36" s="36">
        <f>1000*H34/100</f>
        <v>28.805999999999997</v>
      </c>
      <c r="I36" s="36">
        <f>1000*I34/100</f>
        <v>0.17100000000000001</v>
      </c>
    </row>
  </sheetData>
  <customSheetViews>
    <customSheetView guid="{96C67CFB-CE46-46EB-8800-9D77F2045444}" scale="90" showPageBreaks="1" showGridLines="0" fitToPage="1">
      <selection activeCell="N32" sqref="N32"/>
      <pageMargins left="0.70866141732283472" right="0.70866141732283472" top="0.74803149606299213" bottom="0.74803149606299213" header="0.31496062992125984" footer="0.31496062992125984"/>
      <pageSetup paperSize="9" scale="96" orientation="landscape" r:id="rId1"/>
      <headerFooter>
        <oddHeader>&amp;L&amp;F&amp;R&amp;A</oddHeader>
        <oddFooter>&amp;R&amp;Z&amp;F</oddFooter>
      </headerFooter>
    </customSheetView>
    <customSheetView guid="{DE30ACA8-1284-4798-8E7A-589852EF3C29}" scale="90" showGridLines="0" fitToPage="1" topLeftCell="A7">
      <selection activeCell="N25" sqref="N25"/>
      <pageMargins left="0.70866141732283472" right="0.70866141732283472" top="0.74803149606299213" bottom="0.74803149606299213" header="0.31496062992125984" footer="0.31496062992125984"/>
      <pageSetup paperSize="9" scale="94" orientation="landscape" r:id="rId2"/>
      <headerFooter>
        <oddHeader>&amp;L&amp;F&amp;R&amp;A</oddHeader>
        <oddFooter>&amp;R&amp;Z&amp;F</oddFooter>
      </headerFooter>
    </customSheetView>
  </customSheetViews>
  <mergeCells count="1">
    <mergeCell ref="C10:G10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4" orientation="landscape" r:id="rId3"/>
  <headerFooter>
    <oddHeader>&amp;LANEXO I: CÁLCULOS DEL IMPACTO INICIAL DE LA NUEVA METODOLOGÍA DE PEAJES SOBRE LOS CLIENTES&amp;R&amp;A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Q42"/>
  <sheetViews>
    <sheetView showGridLines="0" zoomScale="90" zoomScaleNormal="90" workbookViewId="0">
      <selection activeCell="V15" sqref="V15"/>
    </sheetView>
  </sheetViews>
  <sheetFormatPr baseColWidth="10" defaultRowHeight="16.5"/>
  <cols>
    <col min="1" max="1" width="4.42578125" customWidth="1"/>
    <col min="2" max="2" width="8.28515625" customWidth="1"/>
    <col min="3" max="3" width="7.42578125" bestFit="1" customWidth="1"/>
    <col min="4" max="4" width="2" bestFit="1" customWidth="1"/>
    <col min="5" max="5" width="2.28515625" bestFit="1" customWidth="1"/>
    <col min="6" max="6" width="2.140625" bestFit="1" customWidth="1"/>
    <col min="7" max="7" width="9.7109375" customWidth="1"/>
    <col min="8" max="8" width="14.140625" customWidth="1"/>
    <col min="9" max="9" width="15.42578125" customWidth="1"/>
    <col min="10" max="10" width="19.5703125" customWidth="1"/>
    <col min="11" max="11" width="17.7109375" customWidth="1"/>
    <col min="12" max="12" width="9.42578125" customWidth="1"/>
    <col min="14" max="14" width="13" customWidth="1"/>
    <col min="15" max="15" width="11.5703125" bestFit="1" customWidth="1"/>
    <col min="18" max="18" width="3.28515625" customWidth="1"/>
  </cols>
  <sheetData>
    <row r="2" spans="2:17">
      <c r="B2" s="2" t="s">
        <v>125</v>
      </c>
    </row>
    <row r="3" spans="2:17">
      <c r="B3" t="s">
        <v>45</v>
      </c>
      <c r="J3" s="24" t="s">
        <v>82</v>
      </c>
      <c r="K3" s="24" t="s">
        <v>83</v>
      </c>
      <c r="N3" s="2" t="s">
        <v>46</v>
      </c>
    </row>
    <row r="4" spans="2:17">
      <c r="J4" s="31" t="s">
        <v>84</v>
      </c>
      <c r="K4" s="31" t="s">
        <v>85</v>
      </c>
      <c r="N4" t="s">
        <v>60</v>
      </c>
    </row>
    <row r="5" spans="2:17">
      <c r="G5" s="44" t="s">
        <v>44</v>
      </c>
      <c r="H5" s="44"/>
      <c r="I5" s="4" t="s">
        <v>11</v>
      </c>
      <c r="J5" s="11">
        <v>243.92</v>
      </c>
      <c r="K5" s="11">
        <v>148.22</v>
      </c>
      <c r="N5" s="3" t="s">
        <v>13</v>
      </c>
      <c r="O5" s="13">
        <v>1.2</v>
      </c>
    </row>
    <row r="6" spans="2:17">
      <c r="G6" s="46"/>
      <c r="H6" s="45"/>
      <c r="I6" s="4" t="s">
        <v>58</v>
      </c>
      <c r="J6" s="49">
        <f>J5/12</f>
        <v>20.326666666666664</v>
      </c>
      <c r="K6" s="49">
        <f>K5/12</f>
        <v>12.351666666666667</v>
      </c>
      <c r="N6" s="3" t="s">
        <v>14</v>
      </c>
      <c r="O6" s="13">
        <v>1.3</v>
      </c>
    </row>
    <row r="7" spans="2:17">
      <c r="G7" s="3" t="s">
        <v>43</v>
      </c>
      <c r="H7" s="3"/>
      <c r="I7" s="4" t="s">
        <v>12</v>
      </c>
      <c r="J7" s="28">
        <v>2.2599999999999999E-2</v>
      </c>
      <c r="K7" s="28">
        <v>2.2599999999999999E-2</v>
      </c>
      <c r="N7" s="3" t="s">
        <v>15</v>
      </c>
      <c r="O7" s="13">
        <v>1.6</v>
      </c>
    </row>
    <row r="9" spans="2:17">
      <c r="B9" s="2" t="s">
        <v>47</v>
      </c>
      <c r="N9" s="2" t="s">
        <v>63</v>
      </c>
    </row>
    <row r="10" spans="2:17">
      <c r="B10" t="s">
        <v>48</v>
      </c>
      <c r="N10" t="s">
        <v>64</v>
      </c>
    </row>
    <row r="11" spans="2:17">
      <c r="H11" s="29" t="s">
        <v>49</v>
      </c>
      <c r="I11" s="29" t="s">
        <v>50</v>
      </c>
      <c r="J11" s="29" t="s">
        <v>51</v>
      </c>
      <c r="K11" s="29" t="s">
        <v>52</v>
      </c>
      <c r="L11" s="29" t="s">
        <v>53</v>
      </c>
      <c r="N11" s="29" t="s">
        <v>62</v>
      </c>
      <c r="O11" s="29" t="s">
        <v>29</v>
      </c>
      <c r="P11" s="29" t="s">
        <v>28</v>
      </c>
      <c r="Q11" s="29" t="s">
        <v>30</v>
      </c>
    </row>
    <row r="12" spans="2:17">
      <c r="B12" s="24" t="s">
        <v>0</v>
      </c>
      <c r="C12" s="235" t="s">
        <v>80</v>
      </c>
      <c r="D12" s="236"/>
      <c r="E12" s="236"/>
      <c r="F12" s="236"/>
      <c r="G12" s="237"/>
      <c r="H12" s="31" t="s">
        <v>58</v>
      </c>
      <c r="I12" s="31" t="s">
        <v>35</v>
      </c>
      <c r="J12" s="31" t="s">
        <v>12</v>
      </c>
      <c r="K12" s="31" t="s">
        <v>12</v>
      </c>
      <c r="L12" s="30" t="s">
        <v>54</v>
      </c>
      <c r="N12" s="3" t="s">
        <v>16</v>
      </c>
      <c r="O12" s="12"/>
      <c r="P12" s="13">
        <v>1.76</v>
      </c>
      <c r="Q12" s="13">
        <v>2.17</v>
      </c>
    </row>
    <row r="13" spans="2:17">
      <c r="B13" s="23" t="s">
        <v>1</v>
      </c>
      <c r="C13" s="58"/>
      <c r="D13" s="37"/>
      <c r="E13" s="37" t="s">
        <v>10</v>
      </c>
      <c r="F13" s="37" t="s">
        <v>8</v>
      </c>
      <c r="G13" s="62">
        <v>3</v>
      </c>
      <c r="H13" s="38"/>
      <c r="I13" s="47">
        <v>0.51300000000000001</v>
      </c>
      <c r="J13" s="40">
        <v>15.61</v>
      </c>
      <c r="K13" s="41">
        <f>(12*'Tipología Clientes'!H6*I13+'Tipología Clientes'!I6*J13)/'Tipología Clientes'!I6</f>
        <v>19.913811803897556</v>
      </c>
      <c r="L13" s="42">
        <f>(12*I13*'Tipología Clientes'!H6/'Tipología Clientes'!I6)/K13</f>
        <v>0.21612194823771552</v>
      </c>
      <c r="N13" s="3" t="s">
        <v>17</v>
      </c>
      <c r="O13" s="14">
        <v>1.42</v>
      </c>
      <c r="P13" s="13">
        <v>1.47</v>
      </c>
      <c r="Q13" s="13">
        <v>1.81</v>
      </c>
    </row>
    <row r="14" spans="2:17">
      <c r="B14" s="23" t="s">
        <v>2</v>
      </c>
      <c r="C14" s="59">
        <f>G13</f>
        <v>3</v>
      </c>
      <c r="D14" s="37" t="s">
        <v>9</v>
      </c>
      <c r="E14" s="37" t="s">
        <v>10</v>
      </c>
      <c r="F14" s="37" t="s">
        <v>8</v>
      </c>
      <c r="G14" s="62">
        <v>15</v>
      </c>
      <c r="H14" s="38"/>
      <c r="I14" s="47">
        <v>2.6749999999999998</v>
      </c>
      <c r="J14" s="43">
        <v>16.984999999999999</v>
      </c>
      <c r="K14" s="41">
        <f>(12*'Tipología Clientes'!H7*I14+'Tipología Clientes'!I7*J14)/'Tipología Clientes'!I7</f>
        <v>21.66935939150304</v>
      </c>
      <c r="L14" s="42">
        <f>(12*I14*'Tipología Clientes'!H7/'Tipología Clientes'!I7)/K14</f>
        <v>0.21617433662297672</v>
      </c>
      <c r="N14" s="3" t="s">
        <v>18</v>
      </c>
      <c r="O14" s="15"/>
      <c r="P14" s="13">
        <v>1.39</v>
      </c>
      <c r="Q14" s="13">
        <v>1.71</v>
      </c>
    </row>
    <row r="15" spans="2:17">
      <c r="B15" s="23" t="s">
        <v>3</v>
      </c>
      <c r="C15" s="59">
        <f t="shared" ref="C15:C23" si="0">G14</f>
        <v>15</v>
      </c>
      <c r="D15" s="37" t="s">
        <v>9</v>
      </c>
      <c r="E15" s="37" t="s">
        <v>10</v>
      </c>
      <c r="F15" s="37" t="s">
        <v>8</v>
      </c>
      <c r="G15" s="62">
        <v>50</v>
      </c>
      <c r="H15" s="38"/>
      <c r="I15" s="47">
        <v>13.936999999999999</v>
      </c>
      <c r="J15" s="43">
        <v>14.494</v>
      </c>
      <c r="K15" s="41">
        <f>(12*'Tipología Clientes'!H8*I15+'Tipología Clientes'!I8*J15)/'Tipología Clientes'!I8</f>
        <v>22.265681585040959</v>
      </c>
      <c r="L15" s="42">
        <f>(12*I15*'Tipología Clientes'!H8/'Tipología Clientes'!I8)/K15</f>
        <v>0.34904305782681755</v>
      </c>
      <c r="N15" s="3" t="s">
        <v>19</v>
      </c>
      <c r="O15" s="12"/>
      <c r="P15" s="13">
        <v>1.1000000000000001</v>
      </c>
      <c r="Q15" s="13">
        <v>1.35</v>
      </c>
    </row>
    <row r="16" spans="2:17">
      <c r="B16" s="23" t="s">
        <v>4</v>
      </c>
      <c r="C16" s="59">
        <f t="shared" si="0"/>
        <v>50</v>
      </c>
      <c r="D16" s="37" t="s">
        <v>9</v>
      </c>
      <c r="E16" s="37" t="s">
        <v>10</v>
      </c>
      <c r="F16" s="37" t="s">
        <v>8</v>
      </c>
      <c r="G16" s="62">
        <v>300</v>
      </c>
      <c r="H16" s="38"/>
      <c r="I16" s="47">
        <v>45.389000000000003</v>
      </c>
      <c r="J16" s="43">
        <v>14.335000000000001</v>
      </c>
      <c r="K16" s="41">
        <f>(12*'Tipología Clientes'!H9*I16+'Tipología Clientes'!I9*J16)/'Tipología Clientes'!I9</f>
        <v>18.914011928738642</v>
      </c>
      <c r="L16" s="42">
        <f>(12*I16*'Tipología Clientes'!H9/'Tipología Clientes'!I9)/K16</f>
        <v>0.24209628004839764</v>
      </c>
      <c r="N16" s="3" t="s">
        <v>20</v>
      </c>
      <c r="O16" s="14">
        <v>0.96</v>
      </c>
      <c r="P16" s="13">
        <v>1.02</v>
      </c>
      <c r="Q16" s="13">
        <v>1.25</v>
      </c>
    </row>
    <row r="17" spans="2:17">
      <c r="B17" s="23" t="s">
        <v>5</v>
      </c>
      <c r="C17" s="59">
        <f t="shared" si="0"/>
        <v>300</v>
      </c>
      <c r="D17" s="37" t="s">
        <v>9</v>
      </c>
      <c r="E17" s="37" t="s">
        <v>10</v>
      </c>
      <c r="F17" s="37" t="s">
        <v>8</v>
      </c>
      <c r="G17" s="62">
        <v>1500</v>
      </c>
      <c r="H17" s="38"/>
      <c r="I17" s="47">
        <v>221.929</v>
      </c>
      <c r="J17" s="43">
        <v>14.445</v>
      </c>
      <c r="K17" s="41">
        <f>(12*'Tipología Clientes'!H10*I17+'Tipología Clientes'!I10*J17)/'Tipología Clientes'!I10</f>
        <v>18.875814157804943</v>
      </c>
      <c r="L17" s="42">
        <f>(12*I17*'Tipología Clientes'!H10/'Tipología Clientes'!I10)/K17</f>
        <v>0.23473499583978735</v>
      </c>
      <c r="N17" s="3" t="s">
        <v>21</v>
      </c>
      <c r="O17" s="15"/>
      <c r="P17" s="13">
        <v>1.02</v>
      </c>
      <c r="Q17" s="13">
        <v>1.26</v>
      </c>
    </row>
    <row r="18" spans="2:17">
      <c r="B18" s="23" t="s">
        <v>6</v>
      </c>
      <c r="C18" s="59">
        <f t="shared" si="0"/>
        <v>1500</v>
      </c>
      <c r="D18" s="37" t="s">
        <v>9</v>
      </c>
      <c r="E18" s="37" t="s">
        <v>10</v>
      </c>
      <c r="F18" s="37" t="s">
        <v>8</v>
      </c>
      <c r="G18" s="62">
        <v>5000</v>
      </c>
      <c r="H18" s="38"/>
      <c r="I18" s="47">
        <v>1110.8520000000001</v>
      </c>
      <c r="J18" s="43">
        <v>8.702</v>
      </c>
      <c r="K18" s="41">
        <f>(12*'Tipología Clientes'!H11*I18+'Tipología Clientes'!I11*J18)/'Tipología Clientes'!I11</f>
        <v>13.904540460269914</v>
      </c>
      <c r="L18" s="42">
        <f>(12*I18*'Tipología Clientes'!H11/'Tipología Clientes'!I11)/K18</f>
        <v>0.37416126589263232</v>
      </c>
      <c r="N18" s="3" t="s">
        <v>22</v>
      </c>
      <c r="O18" s="12"/>
      <c r="P18" s="13">
        <v>1.1000000000000001</v>
      </c>
      <c r="Q18" s="13">
        <v>1.35</v>
      </c>
    </row>
    <row r="19" spans="2:17">
      <c r="B19" s="23" t="s">
        <v>7</v>
      </c>
      <c r="C19" s="59">
        <f t="shared" si="0"/>
        <v>5000</v>
      </c>
      <c r="D19" s="37" t="s">
        <v>9</v>
      </c>
      <c r="E19" s="37" t="s">
        <v>10</v>
      </c>
      <c r="F19" s="37" t="s">
        <v>8</v>
      </c>
      <c r="G19" s="62">
        <v>15000</v>
      </c>
      <c r="H19" s="48">
        <f>1000*1.04085/12</f>
        <v>86.737500000000011</v>
      </c>
      <c r="I19" s="38"/>
      <c r="J19" s="40">
        <v>1.0900000000000001</v>
      </c>
      <c r="K19" s="41">
        <f>(12*'Tipología Clientes'!K12*H19+'Tipología Clientes'!I12*J19)/'Tipología Clientes'!I12</f>
        <v>6.8909401304370341</v>
      </c>
      <c r="L19" s="42">
        <f>(12*H19*'Tipología Clientes'!K12/'Tipología Clientes'!I12)/K19</f>
        <v>0.84182129297778863</v>
      </c>
      <c r="N19" s="3" t="s">
        <v>23</v>
      </c>
      <c r="O19" s="14">
        <v>0.97</v>
      </c>
      <c r="P19" s="13">
        <v>1</v>
      </c>
      <c r="Q19" s="13">
        <v>1.23</v>
      </c>
    </row>
    <row r="20" spans="2:17">
      <c r="B20" s="23" t="s">
        <v>31</v>
      </c>
      <c r="C20" s="59">
        <f t="shared" si="0"/>
        <v>15000</v>
      </c>
      <c r="D20" s="37" t="s">
        <v>9</v>
      </c>
      <c r="E20" s="37" t="s">
        <v>10</v>
      </c>
      <c r="F20" s="37" t="s">
        <v>8</v>
      </c>
      <c r="G20" s="62">
        <v>50000</v>
      </c>
      <c r="H20" s="48">
        <f>1000*0.50656/12</f>
        <v>42.213333333333331</v>
      </c>
      <c r="I20" s="38"/>
      <c r="J20" s="43">
        <v>0.70599999999999996</v>
      </c>
      <c r="K20" s="41">
        <f>(12*'Tipología Clientes'!K13*H20+'Tipología Clientes'!I13*J20)/'Tipología Clientes'!I13</f>
        <v>3.0374886591987611</v>
      </c>
      <c r="L20" s="42">
        <f>(12*H20*'Tipología Clientes'!K13/'Tipología Clientes'!I13)/K20</f>
        <v>0.76757114866521658</v>
      </c>
      <c r="N20" s="3" t="s">
        <v>24</v>
      </c>
      <c r="O20" s="15"/>
      <c r="P20" s="13">
        <v>1.07</v>
      </c>
      <c r="Q20" s="13">
        <v>1.31</v>
      </c>
    </row>
    <row r="21" spans="2:17">
      <c r="B21" s="23" t="s">
        <v>32</v>
      </c>
      <c r="C21" s="59">
        <f t="shared" si="0"/>
        <v>50000</v>
      </c>
      <c r="D21" s="37" t="s">
        <v>9</v>
      </c>
      <c r="E21" s="37" t="s">
        <v>10</v>
      </c>
      <c r="F21" s="37" t="s">
        <v>8</v>
      </c>
      <c r="G21" s="62">
        <v>150000</v>
      </c>
      <c r="H21" s="48">
        <f>1000*0.21247/12</f>
        <v>17.705833333333334</v>
      </c>
      <c r="I21" s="38"/>
      <c r="J21" s="40">
        <v>0.48</v>
      </c>
      <c r="K21" s="41">
        <f>(12*'Tipología Clientes'!K14*H21+'Tipología Clientes'!I14*J21)/'Tipología Clientes'!I14</f>
        <v>1.3254964804539637</v>
      </c>
      <c r="L21" s="42">
        <f>(12*H21*'Tipología Clientes'!K14/'Tipología Clientes'!I14)/K21</f>
        <v>0.63787153939812302</v>
      </c>
      <c r="N21" s="3" t="s">
        <v>25</v>
      </c>
      <c r="O21" s="12"/>
      <c r="P21" s="13">
        <v>1.28</v>
      </c>
      <c r="Q21" s="13">
        <v>1.58</v>
      </c>
    </row>
    <row r="22" spans="2:17">
      <c r="B22" s="23" t="s">
        <v>33</v>
      </c>
      <c r="C22" s="59">
        <f t="shared" si="0"/>
        <v>150000</v>
      </c>
      <c r="D22" s="37" t="s">
        <v>9</v>
      </c>
      <c r="E22" s="37" t="s">
        <v>10</v>
      </c>
      <c r="F22" s="37" t="s">
        <v>8</v>
      </c>
      <c r="G22" s="62">
        <v>500000</v>
      </c>
      <c r="H22" s="48">
        <f>1000*0.16721/12</f>
        <v>13.934166666666668</v>
      </c>
      <c r="I22" s="38"/>
      <c r="J22" s="43">
        <v>0.38700000000000001</v>
      </c>
      <c r="K22" s="41">
        <f>(12*'Tipología Clientes'!K15*H22+'Tipología Clientes'!I15*J22)/'Tipología Clientes'!I15</f>
        <v>1.0133174654748651</v>
      </c>
      <c r="L22" s="42">
        <f>(12*H22*'Tipología Clientes'!K15/'Tipología Clientes'!I15)/K22</f>
        <v>0.61808612484672565</v>
      </c>
      <c r="N22" s="3" t="s">
        <v>26</v>
      </c>
      <c r="O22" s="14">
        <v>1.44</v>
      </c>
      <c r="P22" s="13">
        <v>1.63</v>
      </c>
      <c r="Q22" s="13">
        <v>2</v>
      </c>
    </row>
    <row r="23" spans="2:17">
      <c r="B23" s="23" t="s">
        <v>34</v>
      </c>
      <c r="C23" s="59">
        <f t="shared" si="0"/>
        <v>500000</v>
      </c>
      <c r="D23" s="37" t="s">
        <v>9</v>
      </c>
      <c r="E23" s="37" t="s">
        <v>10</v>
      </c>
      <c r="F23" s="37"/>
      <c r="G23" s="62"/>
      <c r="H23" s="48">
        <f>1000*0.11887/12</f>
        <v>9.9058333333333337</v>
      </c>
      <c r="I23" s="38"/>
      <c r="J23" s="43">
        <v>9.0999999999999998E-2</v>
      </c>
      <c r="K23" s="41">
        <f>(12*'Tipología Clientes'!K16*H23+'Tipología Clientes'!I16*J23)/'Tipología Clientes'!I16</f>
        <v>0.67622797469396223</v>
      </c>
      <c r="L23" s="42">
        <f>(12*H23*'Tipología Clientes'!K16/'Tipología Clientes'!I16)/K23</f>
        <v>0.86542999786250552</v>
      </c>
      <c r="N23" s="3" t="s">
        <v>27</v>
      </c>
      <c r="O23" s="15"/>
      <c r="P23" s="13">
        <v>1.77</v>
      </c>
      <c r="Q23" s="13">
        <v>2.17</v>
      </c>
    </row>
    <row r="24" spans="2:17">
      <c r="E24" s="1"/>
    </row>
    <row r="25" spans="2:17">
      <c r="B25" s="2" t="s">
        <v>59</v>
      </c>
    </row>
    <row r="26" spans="2:17">
      <c r="B26" t="s">
        <v>116</v>
      </c>
      <c r="H26" s="29" t="s">
        <v>49</v>
      </c>
      <c r="I26" s="29" t="s">
        <v>51</v>
      </c>
      <c r="N26" s="2" t="s">
        <v>46</v>
      </c>
    </row>
    <row r="27" spans="2:17">
      <c r="H27" s="31" t="s">
        <v>56</v>
      </c>
      <c r="I27" s="31" t="s">
        <v>57</v>
      </c>
      <c r="N27" t="s">
        <v>61</v>
      </c>
    </row>
    <row r="28" spans="2:17">
      <c r="H28" s="33">
        <v>2.986761</v>
      </c>
      <c r="I28" s="33">
        <v>1.5191E-2</v>
      </c>
      <c r="N28" s="3" t="s">
        <v>13</v>
      </c>
      <c r="O28" s="13">
        <v>1.2</v>
      </c>
    </row>
    <row r="29" spans="2:17">
      <c r="H29" s="31" t="s">
        <v>58</v>
      </c>
      <c r="I29" s="31" t="s">
        <v>12</v>
      </c>
      <c r="N29" s="3" t="s">
        <v>14</v>
      </c>
      <c r="O29" s="13">
        <v>1.4</v>
      </c>
    </row>
    <row r="30" spans="2:17">
      <c r="H30" s="65">
        <f>1000*H28/100</f>
        <v>29.867609999999999</v>
      </c>
      <c r="I30" s="65">
        <f>1000*I28/100</f>
        <v>0.15190999999999999</v>
      </c>
      <c r="N30" s="3" t="s">
        <v>15</v>
      </c>
      <c r="O30" s="13">
        <v>2</v>
      </c>
    </row>
    <row r="32" spans="2:17">
      <c r="B32" s="2" t="s">
        <v>131</v>
      </c>
    </row>
    <row r="33" spans="2:15">
      <c r="B33" t="s">
        <v>132</v>
      </c>
      <c r="H33" s="29" t="s">
        <v>51</v>
      </c>
      <c r="N33" s="2" t="s">
        <v>46</v>
      </c>
    </row>
    <row r="34" spans="2:15">
      <c r="H34" s="31" t="s">
        <v>12</v>
      </c>
      <c r="N34" t="s">
        <v>61</v>
      </c>
    </row>
    <row r="35" spans="2:15">
      <c r="H35" s="33">
        <v>0.26106499999999999</v>
      </c>
      <c r="N35" s="3" t="s">
        <v>13</v>
      </c>
      <c r="O35" s="13">
        <v>1.1000000000000001</v>
      </c>
    </row>
    <row r="36" spans="2:15">
      <c r="N36" s="3" t="s">
        <v>14</v>
      </c>
      <c r="O36" s="13">
        <v>1.2</v>
      </c>
    </row>
    <row r="37" spans="2:15">
      <c r="B37" s="2" t="s">
        <v>81</v>
      </c>
      <c r="N37" s="3" t="s">
        <v>15</v>
      </c>
      <c r="O37" s="13">
        <v>1.8</v>
      </c>
    </row>
    <row r="38" spans="2:15">
      <c r="B38" t="s">
        <v>55</v>
      </c>
      <c r="H38" s="29" t="s">
        <v>49</v>
      </c>
      <c r="I38" s="29" t="s">
        <v>51</v>
      </c>
    </row>
    <row r="39" spans="2:15">
      <c r="H39" s="31" t="s">
        <v>56</v>
      </c>
      <c r="I39" s="31" t="s">
        <v>57</v>
      </c>
    </row>
    <row r="40" spans="2:15">
      <c r="H40" s="33">
        <v>2.6201279999999998</v>
      </c>
      <c r="I40" s="33">
        <v>1.1939999999999999E-2</v>
      </c>
    </row>
    <row r="41" spans="2:15">
      <c r="H41" s="31" t="s">
        <v>58</v>
      </c>
      <c r="I41" s="31" t="s">
        <v>12</v>
      </c>
    </row>
    <row r="42" spans="2:15">
      <c r="H42" s="65">
        <f>1000*H40/100</f>
        <v>26.201279999999997</v>
      </c>
      <c r="I42" s="65">
        <f>1000*I40/100</f>
        <v>0.11939999999999999</v>
      </c>
    </row>
  </sheetData>
  <customSheetViews>
    <customSheetView guid="{96C67CFB-CE46-46EB-8800-9D77F2045444}" scale="90" showPageBreaks="1" showGridLines="0" printArea="1" topLeftCell="A10">
      <selection activeCell="U29" sqref="U29"/>
      <pageMargins left="0.70866141732283472" right="0.70866141732283472" top="0.74803149606299213" bottom="0.74803149606299213" header="0.31496062992125984" footer="0.31496062992125984"/>
      <pageSetup paperSize="9" scale="81" orientation="landscape" r:id="rId1"/>
      <headerFooter>
        <oddHeader>&amp;L&amp;F&amp;R&amp;A</oddHeader>
        <oddFooter>&amp;R&amp;Z&amp;F</oddFooter>
      </headerFooter>
    </customSheetView>
    <customSheetView guid="{DE30ACA8-1284-4798-8E7A-589852EF3C29}" scale="90" showGridLines="0">
      <selection activeCell="U29" sqref="U29"/>
      <pageMargins left="0.70866141732283472" right="0.70866141732283472" top="0.74803149606299213" bottom="0.74803149606299213" header="0.31496062992125984" footer="0.31496062992125984"/>
      <pageSetup paperSize="9" scale="81" orientation="landscape" r:id="rId2"/>
      <headerFooter>
        <oddHeader>&amp;L&amp;F&amp;R&amp;A</oddHeader>
        <oddFooter>&amp;R&amp;Z&amp;F</oddFooter>
      </headerFooter>
    </customSheetView>
  </customSheetViews>
  <mergeCells count="1">
    <mergeCell ref="C12:G12"/>
  </mergeCells>
  <phoneticPr fontId="22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orientation="landscape" r:id="rId3"/>
  <headerFooter>
    <oddHeader>&amp;LANEXO I: CÁLCULOS DEL IMPACTO INICIAL DE LA NUEVA METODOLOGÍA DE PEAJES SOBRE LOS CLIENTES&amp;R&amp;A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B41"/>
  <sheetViews>
    <sheetView showGridLines="0" zoomScale="80" zoomScaleNormal="80" workbookViewId="0">
      <pane ySplit="9" topLeftCell="A37" activePane="bottomLeft" state="frozen"/>
      <selection activeCell="AD62" sqref="AD62"/>
      <selection pane="bottomLeft" activeCell="AD62" sqref="AD62"/>
    </sheetView>
  </sheetViews>
  <sheetFormatPr baseColWidth="10" defaultColWidth="11" defaultRowHeight="16.5" outlineLevelCol="1"/>
  <cols>
    <col min="1" max="1" width="2.140625" style="67" customWidth="1"/>
    <col min="2" max="2" width="12.42578125" style="66" customWidth="1"/>
    <col min="3" max="3" width="7" style="67" customWidth="1"/>
    <col min="4" max="4" width="12.5703125" style="67" customWidth="1"/>
    <col min="5" max="5" width="8.42578125" style="67" customWidth="1"/>
    <col min="6" max="6" width="13.42578125" style="74" hidden="1" customWidth="1" outlineLevel="1"/>
    <col min="7" max="7" width="9.7109375" style="74" hidden="1" customWidth="1" outlineLevel="1"/>
    <col min="8" max="8" width="13.85546875" style="78" hidden="1" customWidth="1" outlineLevel="1"/>
    <col min="9" max="9" width="11.5703125" style="78" hidden="1" customWidth="1" outlineLevel="1"/>
    <col min="10" max="10" width="15.5703125" style="78" bestFit="1" customWidth="1" collapsed="1"/>
    <col min="11" max="11" width="13.42578125" style="67" hidden="1" customWidth="1" outlineLevel="1"/>
    <col min="12" max="12" width="14.5703125" style="67" customWidth="1" collapsed="1"/>
    <col min="13" max="13" width="13.42578125" style="67" hidden="1" customWidth="1" outlineLevel="1"/>
    <col min="14" max="14" width="8.28515625" style="67" hidden="1" customWidth="1" outlineLevel="1"/>
    <col min="15" max="15" width="14.140625" style="67" hidden="1" customWidth="1" outlineLevel="1"/>
    <col min="16" max="16" width="13.85546875" style="67" hidden="1" customWidth="1" outlineLevel="1"/>
    <col min="17" max="17" width="15.5703125" style="67" bestFit="1" customWidth="1" collapsed="1"/>
    <col min="18" max="18" width="19.140625" style="67" customWidth="1"/>
    <col min="19" max="19" width="8.5703125" style="67" customWidth="1"/>
    <col min="20" max="20" width="1.42578125" style="67" customWidth="1"/>
    <col min="21" max="21" width="9" style="67" customWidth="1"/>
    <col min="22" max="22" width="13.42578125" style="67" hidden="1" customWidth="1" outlineLevel="1"/>
    <col min="23" max="23" width="8" style="67" hidden="1" customWidth="1" outlineLevel="1"/>
    <col min="24" max="24" width="13.85546875" style="67" hidden="1" customWidth="1" outlineLevel="1"/>
    <col min="25" max="25" width="11.5703125" style="67" hidden="1" customWidth="1" outlineLevel="1"/>
    <col min="26" max="26" width="15.5703125" style="67" bestFit="1" customWidth="1" collapsed="1"/>
    <col min="27" max="27" width="9" style="67" hidden="1" customWidth="1" outlineLevel="1"/>
    <col min="28" max="28" width="14.42578125" style="67" customWidth="1" collapsed="1"/>
    <col min="29" max="31" width="13.42578125" style="67" hidden="1" customWidth="1" outlineLevel="1"/>
    <col min="32" max="32" width="12.85546875" style="67" hidden="1" customWidth="1" outlineLevel="1"/>
    <col min="33" max="33" width="16" style="67" customWidth="1" collapsed="1"/>
    <col min="34" max="37" width="13.42578125" style="67" hidden="1" customWidth="1" outlineLevel="1"/>
    <col min="38" max="38" width="15" style="67" customWidth="1" collapsed="1"/>
    <col min="39" max="40" width="13.42578125" style="67" hidden="1" customWidth="1" outlineLevel="1"/>
    <col min="41" max="41" width="7.42578125" style="67" hidden="1" customWidth="1" outlineLevel="1"/>
    <col min="42" max="42" width="12.5703125" style="67" hidden="1" customWidth="1" outlineLevel="1"/>
    <col min="43" max="43" width="11.5703125" style="67" hidden="1" customWidth="1" outlineLevel="1"/>
    <col min="44" max="44" width="12.5703125" style="67" hidden="1" customWidth="1" outlineLevel="1"/>
    <col min="45" max="45" width="14.42578125" style="67" customWidth="1" collapsed="1"/>
    <col min="46" max="46" width="15.140625" style="67" customWidth="1"/>
    <col min="47" max="47" width="8.42578125" style="67" customWidth="1"/>
    <col min="48" max="48" width="0.7109375" style="67" customWidth="1"/>
    <col min="49" max="49" width="11" style="74" hidden="1" customWidth="1" outlineLevel="1"/>
    <col min="50" max="50" width="12.140625" style="74" hidden="1" customWidth="1" outlineLevel="1"/>
    <col min="51" max="51" width="10.5703125" style="67" hidden="1" customWidth="1" outlineLevel="1"/>
    <col min="52" max="52" width="13" style="67" bestFit="1" customWidth="1" collapsed="1"/>
    <col min="53" max="53" width="9.42578125" style="67" customWidth="1"/>
    <col min="54" max="54" width="8.42578125" style="67" bestFit="1" customWidth="1"/>
    <col min="55" max="16384" width="11" style="67"/>
  </cols>
  <sheetData>
    <row r="2" spans="2:54" ht="18">
      <c r="B2" s="205" t="s">
        <v>137</v>
      </c>
    </row>
    <row r="3" spans="2:54" ht="20.25">
      <c r="B3" s="206" t="s">
        <v>138</v>
      </c>
    </row>
    <row r="5" spans="2:54">
      <c r="B5" s="128" t="s">
        <v>38</v>
      </c>
      <c r="C5" s="252">
        <v>0.85</v>
      </c>
      <c r="D5" s="253"/>
    </row>
    <row r="6" spans="2:54">
      <c r="B6" s="67"/>
      <c r="F6" s="244" t="s">
        <v>100</v>
      </c>
      <c r="G6" s="245"/>
      <c r="H6" s="245"/>
      <c r="I6" s="245"/>
      <c r="J6" s="245"/>
      <c r="K6" s="245"/>
      <c r="L6" s="245"/>
      <c r="M6" s="245"/>
      <c r="N6" s="245"/>
      <c r="O6" s="245"/>
      <c r="P6" s="245"/>
      <c r="Q6" s="245"/>
      <c r="R6" s="245"/>
      <c r="S6" s="246"/>
      <c r="V6" s="247" t="s">
        <v>101</v>
      </c>
      <c r="W6" s="248"/>
      <c r="X6" s="248"/>
      <c r="Y6" s="248"/>
      <c r="Z6" s="248"/>
      <c r="AA6" s="248"/>
      <c r="AB6" s="248"/>
      <c r="AC6" s="248"/>
      <c r="AD6" s="248"/>
      <c r="AE6" s="248"/>
      <c r="AF6" s="248"/>
      <c r="AG6" s="248"/>
      <c r="AH6" s="248"/>
      <c r="AI6" s="248"/>
      <c r="AJ6" s="248"/>
      <c r="AK6" s="248"/>
      <c r="AL6" s="248"/>
      <c r="AM6" s="248"/>
      <c r="AN6" s="248"/>
      <c r="AO6" s="248"/>
      <c r="AP6" s="248"/>
      <c r="AQ6" s="248"/>
      <c r="AR6" s="248"/>
      <c r="AS6" s="248"/>
      <c r="AT6" s="248"/>
      <c r="AU6" s="249"/>
    </row>
    <row r="7" spans="2:54">
      <c r="F7" s="254" t="s">
        <v>94</v>
      </c>
      <c r="G7" s="255"/>
      <c r="H7" s="255"/>
      <c r="I7" s="255"/>
      <c r="J7" s="256"/>
      <c r="K7" s="254" t="s">
        <v>95</v>
      </c>
      <c r="L7" s="256"/>
      <c r="M7" s="254" t="s">
        <v>96</v>
      </c>
      <c r="N7" s="255"/>
      <c r="O7" s="255"/>
      <c r="P7" s="255"/>
      <c r="Q7" s="256"/>
      <c r="R7" s="254" t="s">
        <v>99</v>
      </c>
      <c r="S7" s="256"/>
      <c r="V7" s="240" t="s">
        <v>94</v>
      </c>
      <c r="W7" s="241"/>
      <c r="X7" s="241"/>
      <c r="Y7" s="241"/>
      <c r="Z7" s="242"/>
      <c r="AA7" s="240" t="s">
        <v>133</v>
      </c>
      <c r="AB7" s="242"/>
      <c r="AC7" s="240" t="s">
        <v>134</v>
      </c>
      <c r="AD7" s="241"/>
      <c r="AE7" s="241"/>
      <c r="AF7" s="241"/>
      <c r="AG7" s="242"/>
      <c r="AH7" s="240" t="s">
        <v>135</v>
      </c>
      <c r="AI7" s="241"/>
      <c r="AJ7" s="241"/>
      <c r="AK7" s="241"/>
      <c r="AL7" s="242"/>
      <c r="AM7" s="240" t="s">
        <v>104</v>
      </c>
      <c r="AN7" s="241"/>
      <c r="AO7" s="241"/>
      <c r="AP7" s="241"/>
      <c r="AQ7" s="241"/>
      <c r="AR7" s="241"/>
      <c r="AS7" s="242"/>
      <c r="AT7" s="240" t="s">
        <v>99</v>
      </c>
      <c r="AU7" s="242"/>
    </row>
    <row r="8" spans="2:54">
      <c r="B8" s="68" t="s">
        <v>86</v>
      </c>
      <c r="C8" s="69" t="s">
        <v>38</v>
      </c>
      <c r="D8" s="70" t="s">
        <v>88</v>
      </c>
      <c r="F8" s="80" t="s">
        <v>54</v>
      </c>
      <c r="G8" s="82" t="s">
        <v>91</v>
      </c>
      <c r="H8" s="85" t="s">
        <v>54</v>
      </c>
      <c r="I8" s="85" t="s">
        <v>91</v>
      </c>
      <c r="J8" s="86" t="s">
        <v>92</v>
      </c>
      <c r="K8" s="80" t="s">
        <v>54</v>
      </c>
      <c r="L8" s="81" t="s">
        <v>92</v>
      </c>
      <c r="M8" s="80" t="s">
        <v>90</v>
      </c>
      <c r="N8" s="82" t="s">
        <v>91</v>
      </c>
      <c r="O8" s="82" t="s">
        <v>90</v>
      </c>
      <c r="P8" s="82" t="s">
        <v>91</v>
      </c>
      <c r="Q8" s="81" t="s">
        <v>92</v>
      </c>
      <c r="R8" s="238" t="s">
        <v>98</v>
      </c>
      <c r="S8" s="239"/>
      <c r="V8" s="196" t="s">
        <v>54</v>
      </c>
      <c r="W8" s="91" t="s">
        <v>91</v>
      </c>
      <c r="X8" s="92" t="s">
        <v>54</v>
      </c>
      <c r="Y8" s="92" t="s">
        <v>91</v>
      </c>
      <c r="Z8" s="93" t="s">
        <v>92</v>
      </c>
      <c r="AA8" s="198"/>
      <c r="AB8" s="197" t="s">
        <v>92</v>
      </c>
      <c r="AC8" s="196" t="s">
        <v>54</v>
      </c>
      <c r="AD8" s="91" t="s">
        <v>91</v>
      </c>
      <c r="AE8" s="91" t="s">
        <v>54</v>
      </c>
      <c r="AF8" s="91" t="s">
        <v>91</v>
      </c>
      <c r="AG8" s="197" t="s">
        <v>92</v>
      </c>
      <c r="AH8" s="196" t="s">
        <v>54</v>
      </c>
      <c r="AI8" s="91" t="s">
        <v>91</v>
      </c>
      <c r="AJ8" s="91" t="s">
        <v>54</v>
      </c>
      <c r="AK8" s="91" t="s">
        <v>91</v>
      </c>
      <c r="AL8" s="197" t="s">
        <v>92</v>
      </c>
      <c r="AM8" s="196" t="s">
        <v>90</v>
      </c>
      <c r="AN8" s="91" t="s">
        <v>50</v>
      </c>
      <c r="AO8" s="91" t="s">
        <v>91</v>
      </c>
      <c r="AP8" s="91" t="s">
        <v>90</v>
      </c>
      <c r="AQ8" s="91" t="s">
        <v>50</v>
      </c>
      <c r="AR8" s="91" t="s">
        <v>91</v>
      </c>
      <c r="AS8" s="197" t="s">
        <v>92</v>
      </c>
      <c r="AT8" s="250" t="s">
        <v>98</v>
      </c>
      <c r="AU8" s="251"/>
      <c r="AW8" s="99" t="s">
        <v>94</v>
      </c>
      <c r="AX8" s="99" t="s">
        <v>95</v>
      </c>
      <c r="AY8" s="99" t="s">
        <v>96</v>
      </c>
      <c r="AZ8" s="243" t="s">
        <v>92</v>
      </c>
      <c r="BA8" s="243"/>
    </row>
    <row r="9" spans="2:54" s="74" customFormat="1">
      <c r="B9" s="71" t="s">
        <v>87</v>
      </c>
      <c r="C9" s="72" t="s">
        <v>53</v>
      </c>
      <c r="D9" s="73" t="s">
        <v>37</v>
      </c>
      <c r="E9" s="136" t="s">
        <v>89</v>
      </c>
      <c r="F9" s="73" t="s">
        <v>58</v>
      </c>
      <c r="G9" s="73" t="s">
        <v>12</v>
      </c>
      <c r="H9" s="77" t="s">
        <v>93</v>
      </c>
      <c r="I9" s="77" t="s">
        <v>93</v>
      </c>
      <c r="J9" s="77" t="s">
        <v>93</v>
      </c>
      <c r="K9" s="73" t="s">
        <v>58</v>
      </c>
      <c r="L9" s="73" t="s">
        <v>93</v>
      </c>
      <c r="M9" s="73" t="s">
        <v>58</v>
      </c>
      <c r="N9" s="73" t="s">
        <v>12</v>
      </c>
      <c r="O9" s="73" t="s">
        <v>93</v>
      </c>
      <c r="P9" s="73" t="s">
        <v>93</v>
      </c>
      <c r="Q9" s="73" t="s">
        <v>93</v>
      </c>
      <c r="R9" s="73" t="s">
        <v>93</v>
      </c>
      <c r="S9" s="73" t="s">
        <v>12</v>
      </c>
      <c r="U9" s="135" t="s">
        <v>89</v>
      </c>
      <c r="V9" s="73" t="s">
        <v>58</v>
      </c>
      <c r="W9" s="73" t="s">
        <v>12</v>
      </c>
      <c r="X9" s="77" t="s">
        <v>93</v>
      </c>
      <c r="Y9" s="77" t="s">
        <v>93</v>
      </c>
      <c r="Z9" s="77" t="s">
        <v>93</v>
      </c>
      <c r="AA9" s="73" t="s">
        <v>12</v>
      </c>
      <c r="AB9" s="77" t="s">
        <v>93</v>
      </c>
      <c r="AC9" s="73" t="s">
        <v>58</v>
      </c>
      <c r="AD9" s="73" t="s">
        <v>12</v>
      </c>
      <c r="AE9" s="73" t="s">
        <v>93</v>
      </c>
      <c r="AF9" s="73" t="s">
        <v>93</v>
      </c>
      <c r="AG9" s="73" t="s">
        <v>93</v>
      </c>
      <c r="AH9" s="73" t="s">
        <v>58</v>
      </c>
      <c r="AI9" s="73" t="s">
        <v>12</v>
      </c>
      <c r="AJ9" s="73" t="s">
        <v>93</v>
      </c>
      <c r="AK9" s="73" t="s">
        <v>93</v>
      </c>
      <c r="AL9" s="73" t="s">
        <v>93</v>
      </c>
      <c r="AM9" s="73" t="s">
        <v>58</v>
      </c>
      <c r="AN9" s="73" t="s">
        <v>97</v>
      </c>
      <c r="AO9" s="73" t="s">
        <v>12</v>
      </c>
      <c r="AP9" s="73" t="s">
        <v>93</v>
      </c>
      <c r="AQ9" s="73" t="s">
        <v>93</v>
      </c>
      <c r="AR9" s="73" t="s">
        <v>93</v>
      </c>
      <c r="AS9" s="73" t="s">
        <v>93</v>
      </c>
      <c r="AT9" s="73" t="s">
        <v>93</v>
      </c>
      <c r="AU9" s="73" t="s">
        <v>12</v>
      </c>
      <c r="AW9" s="101" t="s">
        <v>102</v>
      </c>
      <c r="AX9" s="101" t="s">
        <v>102</v>
      </c>
      <c r="AY9" s="101" t="s">
        <v>102</v>
      </c>
      <c r="AZ9" s="103" t="s">
        <v>103</v>
      </c>
      <c r="BA9" s="190" t="s">
        <v>53</v>
      </c>
      <c r="BB9" s="191" t="s">
        <v>126</v>
      </c>
    </row>
    <row r="10" spans="2:54">
      <c r="B10" s="105">
        <v>100</v>
      </c>
      <c r="C10" s="112">
        <f>IF($C$5&lt;&gt;"Memoria CNMC",$C$5,IF(B10&gt;'Tipología Clientes'!$C$16,'Tipología Clientes'!$L$16,IF(B10&gt;'Tipología Clientes'!$C$15,'Tipología Clientes'!$L$15,IF(B10&gt;'Tipología Clientes'!$C$14,'Tipología Clientes'!$L$14,IF(B10&gt;'Tipología Clientes'!$C$13,'Tipología Clientes'!$L$13,IF(B10&gt;'Tipología Clientes'!$C$12,'Tipología Clientes'!$L$12,IF(B10&gt;'Tipología Clientes'!$C$11,'Tipología Clientes'!$L$11,IF(B10&gt;'Tipología Clientes'!$C$10,'Tipología Clientes'!$L$10,IF(B10&gt;'Tipología Clientes'!$C$9,'Tipología Clientes'!$L$9,IF(B10&gt;'Tipología Clientes'!$C$8,'Tipología Clientes'!$L$8,IF(B10&gt;'Tipología Clientes'!$C$7,'Tipología Clientes'!$L$7,'Tipología Clientes'!$L$6)))))))))))</f>
        <v>0.85</v>
      </c>
      <c r="D10" s="113">
        <f>B10/365/C10</f>
        <v>0.32232070910556004</v>
      </c>
      <c r="E10" s="76" t="str">
        <f>IF(B10&gt;'Peajes Actuales'!$C$21,'Peajes Actuales'!$B$21,IF(B10&gt;'Peajes Actuales'!$C$20,'Peajes Actuales'!$B$20,IF(B10&gt;'Peajes Actuales'!$C$19,'Peajes Actuales'!$B$19,IF(B10&gt;'Peajes Actuales'!$C$18,'Peajes Actuales'!$B$18,IF(B10&gt;'Peajes Actuales'!$C$17,'Peajes Actuales'!$B$17,'Peajes Actuales'!$B$16)))))</f>
        <v>2.1</v>
      </c>
      <c r="F10" s="88">
        <f>'Peajes Actuales'!$H$29</f>
        <v>19.612000000000002</v>
      </c>
      <c r="G10" s="88">
        <f>'Peajes Actuales'!$I$29</f>
        <v>0.11599999999999999</v>
      </c>
      <c r="H10" s="123">
        <f>D10*F10*12</f>
        <v>75.856244963738931</v>
      </c>
      <c r="I10" s="123">
        <f>B10*G10</f>
        <v>11.6</v>
      </c>
      <c r="J10" s="122">
        <f>H10+I10</f>
        <v>87.456244963738925</v>
      </c>
      <c r="K10" s="89">
        <f>'Peajes Actuales'!$I$5</f>
        <v>10.848000000000001</v>
      </c>
      <c r="L10" s="122">
        <f>12*K10*D10</f>
        <v>41.958420628525388</v>
      </c>
      <c r="M10" s="90">
        <f>VLOOKUP(E10,'Peajes Actuales'!$B$16:$J$21,7,FALSE)</f>
        <v>253.05500000000001</v>
      </c>
      <c r="N10" s="90">
        <f>VLOOKUP(E10,'Peajes Actuales'!$B$16:$J$21,9,FALSE)</f>
        <v>1.9339999999999999</v>
      </c>
      <c r="O10" s="123">
        <f>M10*D10*12</f>
        <v>978.77840451249006</v>
      </c>
      <c r="P10" s="123">
        <f>B10*N10</f>
        <v>193.4</v>
      </c>
      <c r="Q10" s="122">
        <f>SUM(O10:P10)</f>
        <v>1172.17840451249</v>
      </c>
      <c r="R10" s="124">
        <f>J10+L10+Q10</f>
        <v>1301.5930701047544</v>
      </c>
      <c r="S10" s="79">
        <f>R10/B10</f>
        <v>13.015930701047544</v>
      </c>
      <c r="U10" s="76" t="str">
        <f>IF(B10&gt;'Peajes Circular CNMC'!$C$23,'Peajes Circular CNMC'!$B$23,IF(B10&gt;'Peajes Circular CNMC'!$C$22,'Peajes Circular CNMC'!$B$22,IF(B10&gt;'Peajes Circular CNMC'!$C$21,'Peajes Circular CNMC'!$B$21,IF(B10&gt;'Peajes Circular CNMC'!$C$20,'Peajes Circular CNMC'!$B$20,IF(B10&gt;'Peajes Circular CNMC'!$C$19,'Peajes Circular CNMC'!$B$19,IF(B10&gt;'Peajes Circular CNMC'!$C$18,'Peajes Circular CNMC'!$B$18,IF(B10&gt;'Peajes Circular CNMC'!$C$17,'Peajes Circular CNMC'!$B$17,IF(B10&gt;'Peajes Circular CNMC'!$C$16,'Peajes Circular CNMC'!$B$16,IF(B10&gt;'Peajes Circular CNMC'!$C$15,'Peajes Circular CNMC'!$B$15,IF(B10&gt;'Peajes Circular CNMC'!$C$14,'Peajes Circular CNMC'!$B$14,'Peajes Circular CNMC'!$B$13))))))))))</f>
        <v>D.4</v>
      </c>
      <c r="V10" s="96">
        <f>'Peajes Circular CNMC'!$H$30</f>
        <v>29.867609999999999</v>
      </c>
      <c r="W10" s="88">
        <f>'Peajes Circular CNMC'!$I$30</f>
        <v>0.15190999999999999</v>
      </c>
      <c r="X10" s="123">
        <f t="shared" ref="X10:X39" si="0">12*V10*D10</f>
        <v>115.52339081385979</v>
      </c>
      <c r="Y10" s="123">
        <f t="shared" ref="Y10:Y39" si="1">W10*B10</f>
        <v>15.190999999999999</v>
      </c>
      <c r="Z10" s="122">
        <f>X10+Y10</f>
        <v>130.71439081385978</v>
      </c>
      <c r="AA10" s="88">
        <f>'Peajes Circular CNMC'!$H$35</f>
        <v>0.26106499999999999</v>
      </c>
      <c r="AB10" s="122">
        <f>B10*AA10</f>
        <v>26.1065</v>
      </c>
      <c r="AC10" s="97">
        <f>'Peajes Circular CNMC'!$J$6</f>
        <v>20.326666666666664</v>
      </c>
      <c r="AD10" s="97">
        <f>'Peajes Circular CNMC'!$J$7</f>
        <v>2.2599999999999999E-2</v>
      </c>
      <c r="AE10" s="123">
        <f t="shared" ref="AE10:AE39" si="2">AC10*12*D10</f>
        <v>78.62046736502819</v>
      </c>
      <c r="AF10" s="123">
        <f t="shared" ref="AF10:AF39" si="3">AD10*B10</f>
        <v>2.2599999999999998</v>
      </c>
      <c r="AG10" s="122">
        <f>AE10+AF10</f>
        <v>80.880467365028196</v>
      </c>
      <c r="AH10" s="97">
        <f>'Peajes Circular CNMC'!$K$6</f>
        <v>12.351666666666667</v>
      </c>
      <c r="AI10" s="97">
        <f>'Peajes Circular CNMC'!$K$7</f>
        <v>2.2599999999999999E-2</v>
      </c>
      <c r="AJ10" s="123">
        <f t="shared" ref="AJ10:AJ39" si="4">AH10*12*D10</f>
        <v>47.774375503626111</v>
      </c>
      <c r="AK10" s="123">
        <f t="shared" ref="AK10:AK39" si="5">AI10*B10</f>
        <v>2.2599999999999998</v>
      </c>
      <c r="AL10" s="122">
        <f>AJ10+AK10</f>
        <v>50.034375503626109</v>
      </c>
      <c r="AM10" s="98">
        <f>VLOOKUP(U10,'Peajes Circular CNMC'!$B$13:$J$23,7,FALSE)</f>
        <v>0</v>
      </c>
      <c r="AN10" s="87">
        <f>VLOOKUP(U10,'Peajes Circular CNMC'!$B$13:$J$23,8,FALSE)</f>
        <v>45.389000000000003</v>
      </c>
      <c r="AO10" s="87">
        <f>VLOOKUP(U10,'Peajes Circular CNMC'!$B$13:$J$23,9,FALSE)</f>
        <v>14.335000000000001</v>
      </c>
      <c r="AP10" s="123">
        <f t="shared" ref="AP10:AP39" si="6">12*AM10*D10</f>
        <v>0</v>
      </c>
      <c r="AQ10" s="123">
        <f>12*AN10</f>
        <v>544.66800000000001</v>
      </c>
      <c r="AR10" s="123">
        <f t="shared" ref="AR10:AR39" si="7">AO10*B10</f>
        <v>1433.5</v>
      </c>
      <c r="AS10" s="122">
        <f>AP10+AQ10+AR10</f>
        <v>1978.1680000000001</v>
      </c>
      <c r="AT10" s="124">
        <f>Z10+AB10+AG10+AL10+AS10</f>
        <v>2265.903733682514</v>
      </c>
      <c r="AU10" s="79">
        <f t="shared" ref="AU10:AU39" si="8">AT10/B10</f>
        <v>22.65903733682514</v>
      </c>
      <c r="AW10" s="75">
        <f t="shared" ref="AW10:AW39" si="9">(Z10-J10)/J10</f>
        <v>0.49462615126062787</v>
      </c>
      <c r="AX10" s="100">
        <f t="shared" ref="AX10:AX39" si="10">(AG10-L10)/L10</f>
        <v>0.92763374201081572</v>
      </c>
      <c r="AY10" s="100">
        <f t="shared" ref="AY10:AY39" si="11">(AL10+AS10-Q10)/Q10</f>
        <v>0.73028471408083762</v>
      </c>
      <c r="AZ10" s="125">
        <f t="shared" ref="AZ10:AZ39" si="12">AT10-R10</f>
        <v>964.31066357775967</v>
      </c>
      <c r="BA10" s="100">
        <f t="shared" ref="BA10:BA39" si="13">AZ10/R10</f>
        <v>0.74086954342815481</v>
      </c>
      <c r="BB10" s="192">
        <f t="shared" ref="BB10:BB39" si="14">AU10-S10</f>
        <v>9.6431066357775954</v>
      </c>
    </row>
    <row r="11" spans="2:54">
      <c r="B11" s="105">
        <v>500</v>
      </c>
      <c r="C11" s="112">
        <f>IF($C$5&lt;&gt;"Memoria CNMC",$C$5,IF(B11&gt;'Tipología Clientes'!$C$16,'Tipología Clientes'!$L$16,IF(B11&gt;'Tipología Clientes'!$C$15,'Tipología Clientes'!$L$15,IF(B11&gt;'Tipología Clientes'!$C$14,'Tipología Clientes'!$L$14,IF(B11&gt;'Tipología Clientes'!$C$13,'Tipología Clientes'!$L$13,IF(B11&gt;'Tipología Clientes'!$C$12,'Tipología Clientes'!$L$12,IF(B11&gt;'Tipología Clientes'!$C$11,'Tipología Clientes'!$L$11,IF(B11&gt;'Tipología Clientes'!$C$10,'Tipología Clientes'!$L$10,IF(B11&gt;'Tipología Clientes'!$C$9,'Tipología Clientes'!$L$9,IF(B11&gt;'Tipología Clientes'!$C$8,'Tipología Clientes'!$L$8,IF(B11&gt;'Tipología Clientes'!$C$7,'Tipología Clientes'!$L$7,'Tipología Clientes'!$L$6)))))))))))</f>
        <v>0.85</v>
      </c>
      <c r="D11" s="113">
        <f t="shared" ref="D11:D21" si="15">B11/365/C11</f>
        <v>1.6116035455278002</v>
      </c>
      <c r="E11" s="76" t="str">
        <f>IF(B11&gt;'Peajes Actuales'!$C$21,'Peajes Actuales'!$B$21,IF(B11&gt;'Peajes Actuales'!$C$20,'Peajes Actuales'!$B$20,IF(B11&gt;'Peajes Actuales'!$C$19,'Peajes Actuales'!$B$19,IF(B11&gt;'Peajes Actuales'!$C$18,'Peajes Actuales'!$B$18,IF(B11&gt;'Peajes Actuales'!$C$17,'Peajes Actuales'!$B$17,'Peajes Actuales'!$B$16)))))</f>
        <v>2.1</v>
      </c>
      <c r="F11" s="88">
        <f>'Peajes Actuales'!$H$29</f>
        <v>19.612000000000002</v>
      </c>
      <c r="G11" s="88">
        <f>'Peajes Actuales'!$I$29</f>
        <v>0.11599999999999999</v>
      </c>
      <c r="H11" s="123">
        <f t="shared" ref="H11:H21" si="16">D11*F11*12</f>
        <v>379.28122481869462</v>
      </c>
      <c r="I11" s="123">
        <f t="shared" ref="I11:I21" si="17">B11*G11</f>
        <v>57.999999999999993</v>
      </c>
      <c r="J11" s="122">
        <f t="shared" ref="J11:J21" si="18">H11+I11</f>
        <v>437.28122481869462</v>
      </c>
      <c r="K11" s="89">
        <f>'Peajes Actuales'!$I$5</f>
        <v>10.848000000000001</v>
      </c>
      <c r="L11" s="122">
        <f t="shared" ref="L11:L21" si="19">12*K11*D11</f>
        <v>209.79210314262693</v>
      </c>
      <c r="M11" s="90">
        <f>VLOOKUP(E11,'Peajes Actuales'!$B$16:$J$21,7,FALSE)</f>
        <v>253.05500000000001</v>
      </c>
      <c r="N11" s="90">
        <f>VLOOKUP(E11,'Peajes Actuales'!$B$16:$J$21,9,FALSE)</f>
        <v>1.9339999999999999</v>
      </c>
      <c r="O11" s="123">
        <f t="shared" ref="O11:O21" si="20">M11*D11*12</f>
        <v>4893.8920225624497</v>
      </c>
      <c r="P11" s="123">
        <f t="shared" ref="P11:P21" si="21">B11*N11</f>
        <v>967</v>
      </c>
      <c r="Q11" s="122">
        <f t="shared" ref="Q11:Q21" si="22">SUM(O11:P11)</f>
        <v>5860.8920225624497</v>
      </c>
      <c r="R11" s="124">
        <f t="shared" ref="R11:R21" si="23">J11+L11+Q11</f>
        <v>6507.9653505237711</v>
      </c>
      <c r="S11" s="79">
        <f t="shared" ref="S11:S21" si="24">R11/B11</f>
        <v>13.015930701047543</v>
      </c>
      <c r="U11" s="76" t="str">
        <f>IF(B11&gt;'Peajes Circular CNMC'!$C$23,'Peajes Circular CNMC'!$B$23,IF(B11&gt;'Peajes Circular CNMC'!$C$22,'Peajes Circular CNMC'!$B$22,IF(B11&gt;'Peajes Circular CNMC'!$C$21,'Peajes Circular CNMC'!$B$21,IF(B11&gt;'Peajes Circular CNMC'!$C$20,'Peajes Circular CNMC'!$B$20,IF(B11&gt;'Peajes Circular CNMC'!$C$19,'Peajes Circular CNMC'!$B$19,IF(B11&gt;'Peajes Circular CNMC'!$C$18,'Peajes Circular CNMC'!$B$18,IF(B11&gt;'Peajes Circular CNMC'!$C$17,'Peajes Circular CNMC'!$B$17,IF(B11&gt;'Peajes Circular CNMC'!$C$16,'Peajes Circular CNMC'!$B$16,IF(B11&gt;'Peajes Circular CNMC'!$C$15,'Peajes Circular CNMC'!$B$15,IF(B11&gt;'Peajes Circular CNMC'!$C$14,'Peajes Circular CNMC'!$B$14,'Peajes Circular CNMC'!$B$13))))))))))</f>
        <v>D.5</v>
      </c>
      <c r="V11" s="96">
        <f>'Peajes Circular CNMC'!$H$30</f>
        <v>29.867609999999999</v>
      </c>
      <c r="W11" s="88">
        <f>'Peajes Circular CNMC'!$I$30</f>
        <v>0.15190999999999999</v>
      </c>
      <c r="X11" s="123">
        <f t="shared" si="0"/>
        <v>577.61695406929891</v>
      </c>
      <c r="Y11" s="123">
        <f t="shared" si="1"/>
        <v>75.954999999999998</v>
      </c>
      <c r="Z11" s="122">
        <f t="shared" ref="Z11:Z35" si="25">X11+Y11</f>
        <v>653.57195406929895</v>
      </c>
      <c r="AA11" s="88">
        <f>'Peajes Circular CNMC'!$H$35</f>
        <v>0.26106499999999999</v>
      </c>
      <c r="AB11" s="122">
        <f t="shared" ref="AB11:AB39" si="26">B11*AA11</f>
        <v>130.5325</v>
      </c>
      <c r="AC11" s="97">
        <f>'Peajes Circular CNMC'!$J$6</f>
        <v>20.326666666666664</v>
      </c>
      <c r="AD11" s="97">
        <f>'Peajes Circular CNMC'!$J$7</f>
        <v>2.2599999999999999E-2</v>
      </c>
      <c r="AE11" s="123">
        <f t="shared" si="2"/>
        <v>393.10233682514092</v>
      </c>
      <c r="AF11" s="123">
        <f t="shared" si="3"/>
        <v>11.299999999999999</v>
      </c>
      <c r="AG11" s="122">
        <f t="shared" ref="AG11:AG35" si="27">AE11+AF11</f>
        <v>404.40233682514094</v>
      </c>
      <c r="AH11" s="97">
        <f>'Peajes Circular CNMC'!$K$6</f>
        <v>12.351666666666667</v>
      </c>
      <c r="AI11" s="97">
        <f>'Peajes Circular CNMC'!$K$7</f>
        <v>2.2599999999999999E-2</v>
      </c>
      <c r="AJ11" s="123">
        <f t="shared" si="4"/>
        <v>238.87187751813053</v>
      </c>
      <c r="AK11" s="123">
        <f t="shared" si="5"/>
        <v>11.299999999999999</v>
      </c>
      <c r="AL11" s="122">
        <f t="shared" ref="AL11:AL35" si="28">AJ11+AK11</f>
        <v>250.17187751813054</v>
      </c>
      <c r="AM11" s="98">
        <f>VLOOKUP(U11,'Peajes Circular CNMC'!$B$13:$J$23,7,FALSE)</f>
        <v>0</v>
      </c>
      <c r="AN11" s="87">
        <f>VLOOKUP(U11,'Peajes Circular CNMC'!$B$13:$J$23,8,FALSE)</f>
        <v>221.929</v>
      </c>
      <c r="AO11" s="87">
        <f>VLOOKUP(U11,'Peajes Circular CNMC'!$B$13:$J$23,9,FALSE)</f>
        <v>14.445</v>
      </c>
      <c r="AP11" s="123">
        <f t="shared" si="6"/>
        <v>0</v>
      </c>
      <c r="AQ11" s="123">
        <f t="shared" ref="AQ11:AQ35" si="29">12*AN11</f>
        <v>2663.1480000000001</v>
      </c>
      <c r="AR11" s="123">
        <f t="shared" si="7"/>
        <v>7222.5</v>
      </c>
      <c r="AS11" s="122">
        <f t="shared" ref="AS11:AS35" si="30">AP11+AQ11+AR11</f>
        <v>9885.648000000001</v>
      </c>
      <c r="AT11" s="124">
        <f t="shared" ref="AT11:AT39" si="31">Z11+AB11+AG11+AL11+AS11</f>
        <v>11324.326668412572</v>
      </c>
      <c r="AU11" s="79">
        <f t="shared" si="8"/>
        <v>22.648653336825145</v>
      </c>
      <c r="AW11" s="75">
        <f t="shared" si="9"/>
        <v>0.49462615126062803</v>
      </c>
      <c r="AX11" s="100">
        <f t="shared" si="10"/>
        <v>0.92763374201081561</v>
      </c>
      <c r="AY11" s="100">
        <f t="shared" si="11"/>
        <v>0.72939884210435157</v>
      </c>
      <c r="AZ11" s="125">
        <f t="shared" si="12"/>
        <v>4816.3613178888008</v>
      </c>
      <c r="BA11" s="100">
        <f t="shared" si="13"/>
        <v>0.7400717518419444</v>
      </c>
      <c r="BB11" s="192">
        <f t="shared" si="14"/>
        <v>9.6327226357776023</v>
      </c>
    </row>
    <row r="12" spans="2:54">
      <c r="B12" s="105">
        <v>750</v>
      </c>
      <c r="C12" s="112">
        <f>IF($C$5&lt;&gt;"Memoria CNMC",$C$5,IF(B12&gt;'Tipología Clientes'!$C$16,'Tipología Clientes'!$L$16,IF(B12&gt;'Tipología Clientes'!$C$15,'Tipología Clientes'!$L$15,IF(B12&gt;'Tipología Clientes'!$C$14,'Tipología Clientes'!$L$14,IF(B12&gt;'Tipología Clientes'!$C$13,'Tipología Clientes'!$L$13,IF(B12&gt;'Tipología Clientes'!$C$12,'Tipología Clientes'!$L$12,IF(B12&gt;'Tipología Clientes'!$C$11,'Tipología Clientes'!$L$11,IF(B12&gt;'Tipología Clientes'!$C$10,'Tipología Clientes'!$L$10,IF(B12&gt;'Tipología Clientes'!$C$9,'Tipología Clientes'!$L$9,IF(B12&gt;'Tipología Clientes'!$C$8,'Tipología Clientes'!$L$8,IF(B12&gt;'Tipología Clientes'!$C$7,'Tipología Clientes'!$L$7,'Tipología Clientes'!$L$6)))))))))))</f>
        <v>0.85</v>
      </c>
      <c r="D12" s="113">
        <f t="shared" si="15"/>
        <v>2.4174053182917006</v>
      </c>
      <c r="E12" s="76" t="str">
        <f>IF(B12&gt;'Peajes Actuales'!$C$21,'Peajes Actuales'!$B$21,IF(B12&gt;'Peajes Actuales'!$C$20,'Peajes Actuales'!$B$20,IF(B12&gt;'Peajes Actuales'!$C$19,'Peajes Actuales'!$B$19,IF(B12&gt;'Peajes Actuales'!$C$18,'Peajes Actuales'!$B$18,IF(B12&gt;'Peajes Actuales'!$C$17,'Peajes Actuales'!$B$17,'Peajes Actuales'!$B$16)))))</f>
        <v>2.2</v>
      </c>
      <c r="F12" s="88">
        <f>'Peajes Actuales'!$H$29</f>
        <v>19.612000000000002</v>
      </c>
      <c r="G12" s="88">
        <f>'Peajes Actuales'!$I$29</f>
        <v>0.11599999999999999</v>
      </c>
      <c r="H12" s="123">
        <f t="shared" si="16"/>
        <v>568.92183722804202</v>
      </c>
      <c r="I12" s="123">
        <f t="shared" si="17"/>
        <v>87</v>
      </c>
      <c r="J12" s="122">
        <f t="shared" si="18"/>
        <v>655.92183722804202</v>
      </c>
      <c r="K12" s="89">
        <f>'Peajes Actuales'!$I$5</f>
        <v>10.848000000000001</v>
      </c>
      <c r="L12" s="122">
        <f t="shared" si="19"/>
        <v>314.68815471394043</v>
      </c>
      <c r="M12" s="90">
        <f>VLOOKUP(E12,'Peajes Actuales'!$B$16:$J$21,7,FALSE)</f>
        <v>68.683000000000007</v>
      </c>
      <c r="N12" s="90">
        <f>VLOOKUP(E12,'Peajes Actuales'!$B$16:$J$21,9,FALSE)</f>
        <v>1.5429999999999999</v>
      </c>
      <c r="O12" s="123">
        <f t="shared" si="20"/>
        <v>1992.4157937147465</v>
      </c>
      <c r="P12" s="123">
        <f t="shared" si="21"/>
        <v>1157.25</v>
      </c>
      <c r="Q12" s="122">
        <f t="shared" si="22"/>
        <v>3149.6657937147465</v>
      </c>
      <c r="R12" s="124">
        <f t="shared" si="23"/>
        <v>4120.2757856567287</v>
      </c>
      <c r="S12" s="79">
        <f t="shared" si="24"/>
        <v>5.4937010475423049</v>
      </c>
      <c r="U12" s="76" t="str">
        <f>IF(B12&gt;'Peajes Circular CNMC'!$C$23,'Peajes Circular CNMC'!$B$23,IF(B12&gt;'Peajes Circular CNMC'!$C$22,'Peajes Circular CNMC'!$B$22,IF(B12&gt;'Peajes Circular CNMC'!$C$21,'Peajes Circular CNMC'!$B$21,IF(B12&gt;'Peajes Circular CNMC'!$C$20,'Peajes Circular CNMC'!$B$20,IF(B12&gt;'Peajes Circular CNMC'!$C$19,'Peajes Circular CNMC'!$B$19,IF(B12&gt;'Peajes Circular CNMC'!$C$18,'Peajes Circular CNMC'!$B$18,IF(B12&gt;'Peajes Circular CNMC'!$C$17,'Peajes Circular CNMC'!$B$17,IF(B12&gt;'Peajes Circular CNMC'!$C$16,'Peajes Circular CNMC'!$B$16,IF(B12&gt;'Peajes Circular CNMC'!$C$15,'Peajes Circular CNMC'!$B$15,IF(B12&gt;'Peajes Circular CNMC'!$C$14,'Peajes Circular CNMC'!$B$14,'Peajes Circular CNMC'!$B$13))))))))))</f>
        <v>D.5</v>
      </c>
      <c r="V12" s="96">
        <f>'Peajes Circular CNMC'!$H$30</f>
        <v>29.867609999999999</v>
      </c>
      <c r="W12" s="88">
        <f>'Peajes Circular CNMC'!$I$30</f>
        <v>0.15190999999999999</v>
      </c>
      <c r="X12" s="123">
        <f t="shared" si="0"/>
        <v>866.42543110394854</v>
      </c>
      <c r="Y12" s="123">
        <f t="shared" si="1"/>
        <v>113.93249999999999</v>
      </c>
      <c r="Z12" s="122">
        <f t="shared" si="25"/>
        <v>980.35793110394854</v>
      </c>
      <c r="AA12" s="88">
        <f>'Peajes Circular CNMC'!$H$35</f>
        <v>0.26106499999999999</v>
      </c>
      <c r="AB12" s="122">
        <f t="shared" si="26"/>
        <v>195.79874999999998</v>
      </c>
      <c r="AC12" s="97">
        <f>'Peajes Circular CNMC'!$J$6</f>
        <v>20.326666666666664</v>
      </c>
      <c r="AD12" s="97">
        <f>'Peajes Circular CNMC'!$J$7</f>
        <v>2.2599999999999999E-2</v>
      </c>
      <c r="AE12" s="123">
        <f t="shared" si="2"/>
        <v>589.65350523771156</v>
      </c>
      <c r="AF12" s="123">
        <f t="shared" si="3"/>
        <v>16.95</v>
      </c>
      <c r="AG12" s="122">
        <f t="shared" si="27"/>
        <v>606.6035052377116</v>
      </c>
      <c r="AH12" s="97">
        <f>'Peajes Circular CNMC'!$K$6</f>
        <v>12.351666666666667</v>
      </c>
      <c r="AI12" s="97">
        <f>'Peajes Circular CNMC'!$K$7</f>
        <v>2.2599999999999999E-2</v>
      </c>
      <c r="AJ12" s="123">
        <f t="shared" si="4"/>
        <v>358.30781627719585</v>
      </c>
      <c r="AK12" s="123">
        <f t="shared" si="5"/>
        <v>16.95</v>
      </c>
      <c r="AL12" s="122">
        <f t="shared" si="28"/>
        <v>375.25781627719584</v>
      </c>
      <c r="AM12" s="98">
        <f>VLOOKUP(U12,'Peajes Circular CNMC'!$B$13:$J$23,7,FALSE)</f>
        <v>0</v>
      </c>
      <c r="AN12" s="87">
        <f>VLOOKUP(U12,'Peajes Circular CNMC'!$B$13:$J$23,8,FALSE)</f>
        <v>221.929</v>
      </c>
      <c r="AO12" s="87">
        <f>VLOOKUP(U12,'Peajes Circular CNMC'!$B$13:$J$23,9,FALSE)</f>
        <v>14.445</v>
      </c>
      <c r="AP12" s="123">
        <f t="shared" si="6"/>
        <v>0</v>
      </c>
      <c r="AQ12" s="123">
        <f t="shared" si="29"/>
        <v>2663.1480000000001</v>
      </c>
      <c r="AR12" s="123">
        <f t="shared" si="7"/>
        <v>10833.75</v>
      </c>
      <c r="AS12" s="122">
        <f t="shared" si="30"/>
        <v>13496.898000000001</v>
      </c>
      <c r="AT12" s="124">
        <f t="shared" si="31"/>
        <v>15654.916002618858</v>
      </c>
      <c r="AU12" s="79">
        <f t="shared" si="8"/>
        <v>20.873221336825143</v>
      </c>
      <c r="AW12" s="75">
        <f t="shared" si="9"/>
        <v>0.49462615126062798</v>
      </c>
      <c r="AX12" s="100">
        <f t="shared" si="10"/>
        <v>0.92763374201081594</v>
      </c>
      <c r="AY12" s="100">
        <f t="shared" si="11"/>
        <v>3.4043262761272968</v>
      </c>
      <c r="AZ12" s="125">
        <f t="shared" si="12"/>
        <v>11534.640216962129</v>
      </c>
      <c r="BA12" s="100">
        <f t="shared" si="13"/>
        <v>2.7994825630643141</v>
      </c>
      <c r="BB12" s="192">
        <f t="shared" si="14"/>
        <v>15.379520289282837</v>
      </c>
    </row>
    <row r="13" spans="2:54">
      <c r="B13" s="105">
        <v>1000</v>
      </c>
      <c r="C13" s="112">
        <f>IF($C$5&lt;&gt;"Memoria CNMC",$C$5,IF(B13&gt;'Tipología Clientes'!$C$16,'Tipología Clientes'!$L$16,IF(B13&gt;'Tipología Clientes'!$C$15,'Tipología Clientes'!$L$15,IF(B13&gt;'Tipología Clientes'!$C$14,'Tipología Clientes'!$L$14,IF(B13&gt;'Tipología Clientes'!$C$13,'Tipología Clientes'!$L$13,IF(B13&gt;'Tipología Clientes'!$C$12,'Tipología Clientes'!$L$12,IF(B13&gt;'Tipología Clientes'!$C$11,'Tipología Clientes'!$L$11,IF(B13&gt;'Tipología Clientes'!$C$10,'Tipología Clientes'!$L$10,IF(B13&gt;'Tipología Clientes'!$C$9,'Tipología Clientes'!$L$9,IF(B13&gt;'Tipología Clientes'!$C$8,'Tipología Clientes'!$L$8,IF(B13&gt;'Tipología Clientes'!$C$7,'Tipología Clientes'!$L$7,'Tipología Clientes'!$L$6)))))))))))</f>
        <v>0.85</v>
      </c>
      <c r="D13" s="113">
        <f t="shared" si="15"/>
        <v>3.2232070910556003</v>
      </c>
      <c r="E13" s="76" t="str">
        <f>IF(B13&gt;'Peajes Actuales'!$C$21,'Peajes Actuales'!$B$21,IF(B13&gt;'Peajes Actuales'!$C$20,'Peajes Actuales'!$B$20,IF(B13&gt;'Peajes Actuales'!$C$19,'Peajes Actuales'!$B$19,IF(B13&gt;'Peajes Actuales'!$C$18,'Peajes Actuales'!$B$18,IF(B13&gt;'Peajes Actuales'!$C$17,'Peajes Actuales'!$B$17,'Peajes Actuales'!$B$16)))))</f>
        <v>2.2</v>
      </c>
      <c r="F13" s="88">
        <f>'Peajes Actuales'!$H$29</f>
        <v>19.612000000000002</v>
      </c>
      <c r="G13" s="88">
        <f>'Peajes Actuales'!$I$29</f>
        <v>0.11599999999999999</v>
      </c>
      <c r="H13" s="123">
        <f t="shared" si="16"/>
        <v>758.56244963738925</v>
      </c>
      <c r="I13" s="123">
        <f t="shared" si="17"/>
        <v>115.99999999999999</v>
      </c>
      <c r="J13" s="122">
        <f t="shared" si="18"/>
        <v>874.56244963738925</v>
      </c>
      <c r="K13" s="89">
        <f>'Peajes Actuales'!$I$5</f>
        <v>10.848000000000001</v>
      </c>
      <c r="L13" s="122">
        <f t="shared" si="19"/>
        <v>419.58420628525386</v>
      </c>
      <c r="M13" s="90">
        <f>VLOOKUP(E13,'Peajes Actuales'!$B$16:$J$21,7,FALSE)</f>
        <v>68.683000000000007</v>
      </c>
      <c r="N13" s="90">
        <f>VLOOKUP(E13,'Peajes Actuales'!$B$16:$J$21,9,FALSE)</f>
        <v>1.5429999999999999</v>
      </c>
      <c r="O13" s="123">
        <f t="shared" si="20"/>
        <v>2656.5543916196616</v>
      </c>
      <c r="P13" s="123">
        <f t="shared" si="21"/>
        <v>1543</v>
      </c>
      <c r="Q13" s="122">
        <f t="shared" si="22"/>
        <v>4199.5543916196621</v>
      </c>
      <c r="R13" s="124">
        <f t="shared" si="23"/>
        <v>5493.7010475423049</v>
      </c>
      <c r="S13" s="79">
        <f t="shared" si="24"/>
        <v>5.4937010475423049</v>
      </c>
      <c r="U13" s="76" t="str">
        <f>IF(B13&gt;'Peajes Circular CNMC'!$C$23,'Peajes Circular CNMC'!$B$23,IF(B13&gt;'Peajes Circular CNMC'!$C$22,'Peajes Circular CNMC'!$B$22,IF(B13&gt;'Peajes Circular CNMC'!$C$21,'Peajes Circular CNMC'!$B$21,IF(B13&gt;'Peajes Circular CNMC'!$C$20,'Peajes Circular CNMC'!$B$20,IF(B13&gt;'Peajes Circular CNMC'!$C$19,'Peajes Circular CNMC'!$B$19,IF(B13&gt;'Peajes Circular CNMC'!$C$18,'Peajes Circular CNMC'!$B$18,IF(B13&gt;'Peajes Circular CNMC'!$C$17,'Peajes Circular CNMC'!$B$17,IF(B13&gt;'Peajes Circular CNMC'!$C$16,'Peajes Circular CNMC'!$B$16,IF(B13&gt;'Peajes Circular CNMC'!$C$15,'Peajes Circular CNMC'!$B$15,IF(B13&gt;'Peajes Circular CNMC'!$C$14,'Peajes Circular CNMC'!$B$14,'Peajes Circular CNMC'!$B$13))))))))))</f>
        <v>D.5</v>
      </c>
      <c r="V13" s="96">
        <f>'Peajes Circular CNMC'!$H$30</f>
        <v>29.867609999999999</v>
      </c>
      <c r="W13" s="88">
        <f>'Peajes Circular CNMC'!$I$30</f>
        <v>0.15190999999999999</v>
      </c>
      <c r="X13" s="123">
        <f t="shared" si="0"/>
        <v>1155.2339081385978</v>
      </c>
      <c r="Y13" s="123">
        <f t="shared" si="1"/>
        <v>151.91</v>
      </c>
      <c r="Z13" s="122">
        <f t="shared" si="25"/>
        <v>1307.1439081385979</v>
      </c>
      <c r="AA13" s="88">
        <f>'Peajes Circular CNMC'!$H$35</f>
        <v>0.26106499999999999</v>
      </c>
      <c r="AB13" s="122">
        <f t="shared" si="26"/>
        <v>261.065</v>
      </c>
      <c r="AC13" s="97">
        <f>'Peajes Circular CNMC'!$J$6</f>
        <v>20.326666666666664</v>
      </c>
      <c r="AD13" s="97">
        <f>'Peajes Circular CNMC'!$J$7</f>
        <v>2.2599999999999999E-2</v>
      </c>
      <c r="AE13" s="123">
        <f t="shared" si="2"/>
        <v>786.20467365028185</v>
      </c>
      <c r="AF13" s="123">
        <f t="shared" si="3"/>
        <v>22.599999999999998</v>
      </c>
      <c r="AG13" s="122">
        <f t="shared" si="27"/>
        <v>808.80467365028187</v>
      </c>
      <c r="AH13" s="97">
        <f>'Peajes Circular CNMC'!$K$6</f>
        <v>12.351666666666667</v>
      </c>
      <c r="AI13" s="97">
        <f>'Peajes Circular CNMC'!$K$7</f>
        <v>2.2599999999999999E-2</v>
      </c>
      <c r="AJ13" s="123">
        <f t="shared" si="4"/>
        <v>477.74375503626106</v>
      </c>
      <c r="AK13" s="123">
        <f t="shared" si="5"/>
        <v>22.599999999999998</v>
      </c>
      <c r="AL13" s="122">
        <f t="shared" si="28"/>
        <v>500.34375503626109</v>
      </c>
      <c r="AM13" s="98">
        <f>VLOOKUP(U13,'Peajes Circular CNMC'!$B$13:$J$23,7,FALSE)</f>
        <v>0</v>
      </c>
      <c r="AN13" s="87">
        <f>VLOOKUP(U13,'Peajes Circular CNMC'!$B$13:$J$23,8,FALSE)</f>
        <v>221.929</v>
      </c>
      <c r="AO13" s="87">
        <f>VLOOKUP(U13,'Peajes Circular CNMC'!$B$13:$J$23,9,FALSE)</f>
        <v>14.445</v>
      </c>
      <c r="AP13" s="123">
        <f t="shared" si="6"/>
        <v>0</v>
      </c>
      <c r="AQ13" s="123">
        <f t="shared" si="29"/>
        <v>2663.1480000000001</v>
      </c>
      <c r="AR13" s="123">
        <f t="shared" si="7"/>
        <v>14445</v>
      </c>
      <c r="AS13" s="122">
        <f t="shared" si="30"/>
        <v>17108.148000000001</v>
      </c>
      <c r="AT13" s="124">
        <f t="shared" si="31"/>
        <v>19985.505336825143</v>
      </c>
      <c r="AU13" s="79">
        <f t="shared" si="8"/>
        <v>19.985505336825142</v>
      </c>
      <c r="AW13" s="75">
        <f t="shared" si="9"/>
        <v>0.49462615126062803</v>
      </c>
      <c r="AX13" s="100">
        <f t="shared" si="10"/>
        <v>0.92763374201081561</v>
      </c>
      <c r="AY13" s="100">
        <f t="shared" si="11"/>
        <v>3.1929428965545821</v>
      </c>
      <c r="AZ13" s="125">
        <f t="shared" si="12"/>
        <v>14491.804289282838</v>
      </c>
      <c r="BA13" s="100">
        <f t="shared" si="13"/>
        <v>2.6378945930750963</v>
      </c>
      <c r="BB13" s="192">
        <f t="shared" si="14"/>
        <v>14.491804289282836</v>
      </c>
    </row>
    <row r="14" spans="2:54">
      <c r="B14" s="105">
        <v>1500</v>
      </c>
      <c r="C14" s="112">
        <f>IF($C$5&lt;&gt;"Memoria CNMC",$C$5,IF(B14&gt;'Tipología Clientes'!$C$16,'Tipología Clientes'!$L$16,IF(B14&gt;'Tipología Clientes'!$C$15,'Tipología Clientes'!$L$15,IF(B14&gt;'Tipología Clientes'!$C$14,'Tipología Clientes'!$L$14,IF(B14&gt;'Tipología Clientes'!$C$13,'Tipología Clientes'!$L$13,IF(B14&gt;'Tipología Clientes'!$C$12,'Tipología Clientes'!$L$12,IF(B14&gt;'Tipología Clientes'!$C$11,'Tipología Clientes'!$L$11,IF(B14&gt;'Tipología Clientes'!$C$10,'Tipología Clientes'!$L$10,IF(B14&gt;'Tipología Clientes'!$C$9,'Tipología Clientes'!$L$9,IF(B14&gt;'Tipología Clientes'!$C$8,'Tipología Clientes'!$L$8,IF(B14&gt;'Tipología Clientes'!$C$7,'Tipología Clientes'!$L$7,'Tipología Clientes'!$L$6)))))))))))</f>
        <v>0.85</v>
      </c>
      <c r="D14" s="113">
        <f t="shared" si="15"/>
        <v>4.8348106365834012</v>
      </c>
      <c r="E14" s="76" t="str">
        <f>IF(B14&gt;'Peajes Actuales'!$C$21,'Peajes Actuales'!$B$21,IF(B14&gt;'Peajes Actuales'!$C$20,'Peajes Actuales'!$B$20,IF(B14&gt;'Peajes Actuales'!$C$19,'Peajes Actuales'!$B$19,IF(B14&gt;'Peajes Actuales'!$C$18,'Peajes Actuales'!$B$18,IF(B14&gt;'Peajes Actuales'!$C$17,'Peajes Actuales'!$B$17,'Peajes Actuales'!$B$16)))))</f>
        <v>2.2</v>
      </c>
      <c r="F14" s="88">
        <f>'Peajes Actuales'!$H$29</f>
        <v>19.612000000000002</v>
      </c>
      <c r="G14" s="88">
        <f>'Peajes Actuales'!$I$29</f>
        <v>0.11599999999999999</v>
      </c>
      <c r="H14" s="123">
        <f t="shared" si="16"/>
        <v>1137.843674456084</v>
      </c>
      <c r="I14" s="123">
        <f t="shared" si="17"/>
        <v>174</v>
      </c>
      <c r="J14" s="122">
        <f t="shared" si="18"/>
        <v>1311.843674456084</v>
      </c>
      <c r="K14" s="89">
        <f>'Peajes Actuales'!$I$5</f>
        <v>10.848000000000001</v>
      </c>
      <c r="L14" s="122">
        <f t="shared" si="19"/>
        <v>629.37630942788087</v>
      </c>
      <c r="M14" s="90">
        <f>VLOOKUP(E14,'Peajes Actuales'!$B$16:$J$21,7,FALSE)</f>
        <v>68.683000000000007</v>
      </c>
      <c r="N14" s="90">
        <f>VLOOKUP(E14,'Peajes Actuales'!$B$16:$J$21,9,FALSE)</f>
        <v>1.5429999999999999</v>
      </c>
      <c r="O14" s="123">
        <f t="shared" si="20"/>
        <v>3984.8315874294931</v>
      </c>
      <c r="P14" s="123">
        <f t="shared" si="21"/>
        <v>2314.5</v>
      </c>
      <c r="Q14" s="122">
        <f t="shared" si="22"/>
        <v>6299.3315874294931</v>
      </c>
      <c r="R14" s="124">
        <f t="shared" si="23"/>
        <v>8240.5515713134573</v>
      </c>
      <c r="S14" s="79">
        <f t="shared" si="24"/>
        <v>5.4937010475423049</v>
      </c>
      <c r="U14" s="76" t="str">
        <f>IF(B14&gt;'Peajes Circular CNMC'!$C$23,'Peajes Circular CNMC'!$B$23,IF(B14&gt;'Peajes Circular CNMC'!$C$22,'Peajes Circular CNMC'!$B$22,IF(B14&gt;'Peajes Circular CNMC'!$C$21,'Peajes Circular CNMC'!$B$21,IF(B14&gt;'Peajes Circular CNMC'!$C$20,'Peajes Circular CNMC'!$B$20,IF(B14&gt;'Peajes Circular CNMC'!$C$19,'Peajes Circular CNMC'!$B$19,IF(B14&gt;'Peajes Circular CNMC'!$C$18,'Peajes Circular CNMC'!$B$18,IF(B14&gt;'Peajes Circular CNMC'!$C$17,'Peajes Circular CNMC'!$B$17,IF(B14&gt;'Peajes Circular CNMC'!$C$16,'Peajes Circular CNMC'!$B$16,IF(B14&gt;'Peajes Circular CNMC'!$C$15,'Peajes Circular CNMC'!$B$15,IF(B14&gt;'Peajes Circular CNMC'!$C$14,'Peajes Circular CNMC'!$B$14,'Peajes Circular CNMC'!$B$13))))))))))</f>
        <v>D.5</v>
      </c>
      <c r="V14" s="96">
        <f>'Peajes Circular CNMC'!$H$30</f>
        <v>29.867609999999999</v>
      </c>
      <c r="W14" s="88">
        <f>'Peajes Circular CNMC'!$I$30</f>
        <v>0.15190999999999999</v>
      </c>
      <c r="X14" s="123">
        <f t="shared" si="0"/>
        <v>1732.8508622078971</v>
      </c>
      <c r="Y14" s="123">
        <f t="shared" si="1"/>
        <v>227.86499999999998</v>
      </c>
      <c r="Z14" s="122">
        <f t="shared" si="25"/>
        <v>1960.7158622078971</v>
      </c>
      <c r="AA14" s="88">
        <f>'Peajes Circular CNMC'!$H$35</f>
        <v>0.26106499999999999</v>
      </c>
      <c r="AB14" s="122">
        <f t="shared" si="26"/>
        <v>391.59749999999997</v>
      </c>
      <c r="AC14" s="97">
        <f>'Peajes Circular CNMC'!$J$6</f>
        <v>20.326666666666664</v>
      </c>
      <c r="AD14" s="97">
        <f>'Peajes Circular CNMC'!$J$7</f>
        <v>2.2599999999999999E-2</v>
      </c>
      <c r="AE14" s="123">
        <f t="shared" si="2"/>
        <v>1179.3070104754231</v>
      </c>
      <c r="AF14" s="123">
        <f t="shared" si="3"/>
        <v>33.9</v>
      </c>
      <c r="AG14" s="122">
        <f t="shared" si="27"/>
        <v>1213.2070104754232</v>
      </c>
      <c r="AH14" s="97">
        <f>'Peajes Circular CNMC'!$K$6</f>
        <v>12.351666666666667</v>
      </c>
      <c r="AI14" s="97">
        <f>'Peajes Circular CNMC'!$K$7</f>
        <v>2.2599999999999999E-2</v>
      </c>
      <c r="AJ14" s="123">
        <f t="shared" si="4"/>
        <v>716.61563255439171</v>
      </c>
      <c r="AK14" s="123">
        <f t="shared" si="5"/>
        <v>33.9</v>
      </c>
      <c r="AL14" s="122">
        <f t="shared" si="28"/>
        <v>750.51563255439169</v>
      </c>
      <c r="AM14" s="98">
        <f>VLOOKUP(U14,'Peajes Circular CNMC'!$B$13:$J$23,7,FALSE)</f>
        <v>0</v>
      </c>
      <c r="AN14" s="87">
        <f>VLOOKUP(U14,'Peajes Circular CNMC'!$B$13:$J$23,8,FALSE)</f>
        <v>221.929</v>
      </c>
      <c r="AO14" s="87">
        <f>VLOOKUP(U14,'Peajes Circular CNMC'!$B$13:$J$23,9,FALSE)</f>
        <v>14.445</v>
      </c>
      <c r="AP14" s="123">
        <f t="shared" si="6"/>
        <v>0</v>
      </c>
      <c r="AQ14" s="123">
        <f t="shared" si="29"/>
        <v>2663.1480000000001</v>
      </c>
      <c r="AR14" s="123">
        <f t="shared" si="7"/>
        <v>21667.5</v>
      </c>
      <c r="AS14" s="122">
        <f t="shared" si="30"/>
        <v>24330.648000000001</v>
      </c>
      <c r="AT14" s="124">
        <f t="shared" si="31"/>
        <v>28646.684005237716</v>
      </c>
      <c r="AU14" s="79">
        <f t="shared" si="8"/>
        <v>19.097789336825144</v>
      </c>
      <c r="AW14" s="75">
        <f t="shared" si="9"/>
        <v>0.49462615126062798</v>
      </c>
      <c r="AX14" s="100">
        <f t="shared" si="10"/>
        <v>0.92763374201081594</v>
      </c>
      <c r="AY14" s="100">
        <f t="shared" si="11"/>
        <v>2.9815595169818674</v>
      </c>
      <c r="AZ14" s="125">
        <f t="shared" si="12"/>
        <v>20406.132433924256</v>
      </c>
      <c r="BA14" s="100">
        <f t="shared" si="13"/>
        <v>2.4763066230858786</v>
      </c>
      <c r="BB14" s="192">
        <f t="shared" si="14"/>
        <v>13.604088289282839</v>
      </c>
    </row>
    <row r="15" spans="2:54">
      <c r="B15" s="105">
        <v>3000</v>
      </c>
      <c r="C15" s="112">
        <f>IF($C$5&lt;&gt;"Memoria CNMC",$C$5,IF(B15&gt;'Tipología Clientes'!$C$16,'Tipología Clientes'!$L$16,IF(B15&gt;'Tipología Clientes'!$C$15,'Tipología Clientes'!$L$15,IF(B15&gt;'Tipología Clientes'!$C$14,'Tipología Clientes'!$L$14,IF(B15&gt;'Tipología Clientes'!$C$13,'Tipología Clientes'!$L$13,IF(B15&gt;'Tipología Clientes'!$C$12,'Tipología Clientes'!$L$12,IF(B15&gt;'Tipología Clientes'!$C$11,'Tipología Clientes'!$L$11,IF(B15&gt;'Tipología Clientes'!$C$10,'Tipología Clientes'!$L$10,IF(B15&gt;'Tipología Clientes'!$C$9,'Tipología Clientes'!$L$9,IF(B15&gt;'Tipología Clientes'!$C$8,'Tipología Clientes'!$L$8,IF(B15&gt;'Tipología Clientes'!$C$7,'Tipología Clientes'!$L$7,'Tipología Clientes'!$L$6)))))))))))</f>
        <v>0.85</v>
      </c>
      <c r="D15" s="113">
        <f t="shared" si="15"/>
        <v>9.6696212731668023</v>
      </c>
      <c r="E15" s="76" t="str">
        <f>IF(B15&gt;'Peajes Actuales'!$C$21,'Peajes Actuales'!$B$21,IF(B15&gt;'Peajes Actuales'!$C$20,'Peajes Actuales'!$B$20,IF(B15&gt;'Peajes Actuales'!$C$19,'Peajes Actuales'!$B$19,IF(B15&gt;'Peajes Actuales'!$C$18,'Peajes Actuales'!$B$18,IF(B15&gt;'Peajes Actuales'!$C$17,'Peajes Actuales'!$B$17,'Peajes Actuales'!$B$16)))))</f>
        <v>2.2</v>
      </c>
      <c r="F15" s="88">
        <f>'Peajes Actuales'!$H$29</f>
        <v>19.612000000000002</v>
      </c>
      <c r="G15" s="88">
        <f>'Peajes Actuales'!$I$29</f>
        <v>0.11599999999999999</v>
      </c>
      <c r="H15" s="123">
        <f t="shared" si="16"/>
        <v>2275.6873489121681</v>
      </c>
      <c r="I15" s="123">
        <f t="shared" si="17"/>
        <v>348</v>
      </c>
      <c r="J15" s="122">
        <f t="shared" si="18"/>
        <v>2623.6873489121681</v>
      </c>
      <c r="K15" s="89">
        <f>'Peajes Actuales'!$I$5</f>
        <v>10.848000000000001</v>
      </c>
      <c r="L15" s="122">
        <f t="shared" si="19"/>
        <v>1258.7526188557617</v>
      </c>
      <c r="M15" s="90">
        <f>VLOOKUP(E15,'Peajes Actuales'!$B$16:$J$21,7,FALSE)</f>
        <v>68.683000000000007</v>
      </c>
      <c r="N15" s="90">
        <f>VLOOKUP(E15,'Peajes Actuales'!$B$16:$J$21,9,FALSE)</f>
        <v>1.5429999999999999</v>
      </c>
      <c r="O15" s="123">
        <f t="shared" si="20"/>
        <v>7969.6631748589862</v>
      </c>
      <c r="P15" s="123">
        <f t="shared" si="21"/>
        <v>4629</v>
      </c>
      <c r="Q15" s="122">
        <f t="shared" si="22"/>
        <v>12598.663174858986</v>
      </c>
      <c r="R15" s="124">
        <f t="shared" si="23"/>
        <v>16481.103142626915</v>
      </c>
      <c r="S15" s="79">
        <f t="shared" si="24"/>
        <v>5.4937010475423049</v>
      </c>
      <c r="U15" s="76" t="str">
        <f>IF(B15&gt;'Peajes Circular CNMC'!$C$23,'Peajes Circular CNMC'!$B$23,IF(B15&gt;'Peajes Circular CNMC'!$C$22,'Peajes Circular CNMC'!$B$22,IF(B15&gt;'Peajes Circular CNMC'!$C$21,'Peajes Circular CNMC'!$B$21,IF(B15&gt;'Peajes Circular CNMC'!$C$20,'Peajes Circular CNMC'!$B$20,IF(B15&gt;'Peajes Circular CNMC'!$C$19,'Peajes Circular CNMC'!$B$19,IF(B15&gt;'Peajes Circular CNMC'!$C$18,'Peajes Circular CNMC'!$B$18,IF(B15&gt;'Peajes Circular CNMC'!$C$17,'Peajes Circular CNMC'!$B$17,IF(B15&gt;'Peajes Circular CNMC'!$C$16,'Peajes Circular CNMC'!$B$16,IF(B15&gt;'Peajes Circular CNMC'!$C$15,'Peajes Circular CNMC'!$B$15,IF(B15&gt;'Peajes Circular CNMC'!$C$14,'Peajes Circular CNMC'!$B$14,'Peajes Circular CNMC'!$B$13))))))))))</f>
        <v>D.6</v>
      </c>
      <c r="V15" s="96">
        <f>'Peajes Circular CNMC'!$H$30</f>
        <v>29.867609999999999</v>
      </c>
      <c r="W15" s="88">
        <f>'Peajes Circular CNMC'!$I$30</f>
        <v>0.15190999999999999</v>
      </c>
      <c r="X15" s="123">
        <f t="shared" si="0"/>
        <v>3465.7017244157942</v>
      </c>
      <c r="Y15" s="123">
        <f t="shared" si="1"/>
        <v>455.72999999999996</v>
      </c>
      <c r="Z15" s="122">
        <f t="shared" si="25"/>
        <v>3921.4317244157942</v>
      </c>
      <c r="AA15" s="88">
        <f>'Peajes Circular CNMC'!$H$35</f>
        <v>0.26106499999999999</v>
      </c>
      <c r="AB15" s="122">
        <f t="shared" si="26"/>
        <v>783.19499999999994</v>
      </c>
      <c r="AC15" s="97">
        <f>'Peajes Circular CNMC'!$J$6</f>
        <v>20.326666666666664</v>
      </c>
      <c r="AD15" s="97">
        <f>'Peajes Circular CNMC'!$J$7</f>
        <v>2.2599999999999999E-2</v>
      </c>
      <c r="AE15" s="123">
        <f t="shared" si="2"/>
        <v>2358.6140209508462</v>
      </c>
      <c r="AF15" s="123">
        <f t="shared" si="3"/>
        <v>67.8</v>
      </c>
      <c r="AG15" s="122">
        <f t="shared" si="27"/>
        <v>2426.4140209508464</v>
      </c>
      <c r="AH15" s="97">
        <f>'Peajes Circular CNMC'!$K$6</f>
        <v>12.351666666666667</v>
      </c>
      <c r="AI15" s="97">
        <f>'Peajes Circular CNMC'!$K$7</f>
        <v>2.2599999999999999E-2</v>
      </c>
      <c r="AJ15" s="123">
        <f t="shared" si="4"/>
        <v>1433.2312651087834</v>
      </c>
      <c r="AK15" s="123">
        <f t="shared" si="5"/>
        <v>67.8</v>
      </c>
      <c r="AL15" s="122">
        <f t="shared" si="28"/>
        <v>1501.0312651087834</v>
      </c>
      <c r="AM15" s="98">
        <f>VLOOKUP(U15,'Peajes Circular CNMC'!$B$13:$J$23,7,FALSE)</f>
        <v>0</v>
      </c>
      <c r="AN15" s="87">
        <f>VLOOKUP(U15,'Peajes Circular CNMC'!$B$13:$J$23,8,FALSE)</f>
        <v>1110.8520000000001</v>
      </c>
      <c r="AO15" s="87">
        <f>VLOOKUP(U15,'Peajes Circular CNMC'!$B$13:$J$23,9,FALSE)</f>
        <v>8.702</v>
      </c>
      <c r="AP15" s="123">
        <f t="shared" si="6"/>
        <v>0</v>
      </c>
      <c r="AQ15" s="123">
        <f t="shared" si="29"/>
        <v>13330.224000000002</v>
      </c>
      <c r="AR15" s="123">
        <f t="shared" si="7"/>
        <v>26106</v>
      </c>
      <c r="AS15" s="122">
        <f t="shared" si="30"/>
        <v>39436.224000000002</v>
      </c>
      <c r="AT15" s="124">
        <f t="shared" si="31"/>
        <v>48068.296010475431</v>
      </c>
      <c r="AU15" s="79">
        <f t="shared" si="8"/>
        <v>16.022765336825145</v>
      </c>
      <c r="AW15" s="75">
        <f t="shared" si="9"/>
        <v>0.49462615126062798</v>
      </c>
      <c r="AX15" s="100">
        <f t="shared" si="10"/>
        <v>0.92763374201081594</v>
      </c>
      <c r="AY15" s="100">
        <f t="shared" si="11"/>
        <v>2.2493332583730243</v>
      </c>
      <c r="AZ15" s="125">
        <f t="shared" si="12"/>
        <v>31587.192867848516</v>
      </c>
      <c r="BA15" s="100">
        <f t="shared" si="13"/>
        <v>1.9165703044568076</v>
      </c>
      <c r="BB15" s="192">
        <f t="shared" si="14"/>
        <v>10.529064289282839</v>
      </c>
    </row>
    <row r="16" spans="2:54">
      <c r="B16" s="105">
        <v>4000</v>
      </c>
      <c r="C16" s="112">
        <f>IF($C$5&lt;&gt;"Memoria CNMC",$C$5,IF(B16&gt;'Tipología Clientes'!$C$16,'Tipología Clientes'!$L$16,IF(B16&gt;'Tipología Clientes'!$C$15,'Tipología Clientes'!$L$15,IF(B16&gt;'Tipología Clientes'!$C$14,'Tipología Clientes'!$L$14,IF(B16&gt;'Tipología Clientes'!$C$13,'Tipología Clientes'!$L$13,IF(B16&gt;'Tipología Clientes'!$C$12,'Tipología Clientes'!$L$12,IF(B16&gt;'Tipología Clientes'!$C$11,'Tipología Clientes'!$L$11,IF(B16&gt;'Tipología Clientes'!$C$10,'Tipología Clientes'!$L$10,IF(B16&gt;'Tipología Clientes'!$C$9,'Tipología Clientes'!$L$9,IF(B16&gt;'Tipología Clientes'!$C$8,'Tipología Clientes'!$L$8,IF(B16&gt;'Tipología Clientes'!$C$7,'Tipología Clientes'!$L$7,'Tipología Clientes'!$L$6)))))))))))</f>
        <v>0.85</v>
      </c>
      <c r="D16" s="113">
        <f t="shared" si="15"/>
        <v>12.892828364222401</v>
      </c>
      <c r="E16" s="76" t="str">
        <f>IF(B16&gt;'Peajes Actuales'!$C$21,'Peajes Actuales'!$B$21,IF(B16&gt;'Peajes Actuales'!$C$20,'Peajes Actuales'!$B$20,IF(B16&gt;'Peajes Actuales'!$C$19,'Peajes Actuales'!$B$19,IF(B16&gt;'Peajes Actuales'!$C$18,'Peajes Actuales'!$B$18,IF(B16&gt;'Peajes Actuales'!$C$17,'Peajes Actuales'!$B$17,'Peajes Actuales'!$B$16)))))</f>
        <v>2.2</v>
      </c>
      <c r="F16" s="88">
        <f>'Peajes Actuales'!$H$29</f>
        <v>19.612000000000002</v>
      </c>
      <c r="G16" s="88">
        <f>'Peajes Actuales'!$I$29</f>
        <v>0.11599999999999999</v>
      </c>
      <c r="H16" s="123">
        <f t="shared" si="16"/>
        <v>3034.249798549557</v>
      </c>
      <c r="I16" s="123">
        <f t="shared" si="17"/>
        <v>463.99999999999994</v>
      </c>
      <c r="J16" s="122">
        <f t="shared" si="18"/>
        <v>3498.249798549557</v>
      </c>
      <c r="K16" s="89">
        <f>'Peajes Actuales'!$I$5</f>
        <v>10.848000000000001</v>
      </c>
      <c r="L16" s="122">
        <f t="shared" si="19"/>
        <v>1678.3368251410154</v>
      </c>
      <c r="M16" s="90">
        <f>VLOOKUP(E16,'Peajes Actuales'!$B$16:$J$21,7,FALSE)</f>
        <v>68.683000000000007</v>
      </c>
      <c r="N16" s="90">
        <f>VLOOKUP(E16,'Peajes Actuales'!$B$16:$J$21,9,FALSE)</f>
        <v>1.5429999999999999</v>
      </c>
      <c r="O16" s="123">
        <f t="shared" si="20"/>
        <v>10626.217566478646</v>
      </c>
      <c r="P16" s="123">
        <f t="shared" si="21"/>
        <v>6172</v>
      </c>
      <c r="Q16" s="122">
        <f t="shared" si="22"/>
        <v>16798.217566478648</v>
      </c>
      <c r="R16" s="124">
        <f t="shared" si="23"/>
        <v>21974.80419016922</v>
      </c>
      <c r="S16" s="79">
        <f t="shared" si="24"/>
        <v>5.4937010475423049</v>
      </c>
      <c r="U16" s="76" t="str">
        <f>IF(B16&gt;'Peajes Circular CNMC'!$C$23,'Peajes Circular CNMC'!$B$23,IF(B16&gt;'Peajes Circular CNMC'!$C$22,'Peajes Circular CNMC'!$B$22,IF(B16&gt;'Peajes Circular CNMC'!$C$21,'Peajes Circular CNMC'!$B$21,IF(B16&gt;'Peajes Circular CNMC'!$C$20,'Peajes Circular CNMC'!$B$20,IF(B16&gt;'Peajes Circular CNMC'!$C$19,'Peajes Circular CNMC'!$B$19,IF(B16&gt;'Peajes Circular CNMC'!$C$18,'Peajes Circular CNMC'!$B$18,IF(B16&gt;'Peajes Circular CNMC'!$C$17,'Peajes Circular CNMC'!$B$17,IF(B16&gt;'Peajes Circular CNMC'!$C$16,'Peajes Circular CNMC'!$B$16,IF(B16&gt;'Peajes Circular CNMC'!$C$15,'Peajes Circular CNMC'!$B$15,IF(B16&gt;'Peajes Circular CNMC'!$C$14,'Peajes Circular CNMC'!$B$14,'Peajes Circular CNMC'!$B$13))))))))))</f>
        <v>D.6</v>
      </c>
      <c r="V16" s="96">
        <f>'Peajes Circular CNMC'!$H$30</f>
        <v>29.867609999999999</v>
      </c>
      <c r="W16" s="88">
        <f>'Peajes Circular CNMC'!$I$30</f>
        <v>0.15190999999999999</v>
      </c>
      <c r="X16" s="123">
        <f t="shared" si="0"/>
        <v>4620.9356325543913</v>
      </c>
      <c r="Y16" s="123">
        <f t="shared" si="1"/>
        <v>607.64</v>
      </c>
      <c r="Z16" s="122">
        <f t="shared" si="25"/>
        <v>5228.5756325543916</v>
      </c>
      <c r="AA16" s="88">
        <f>'Peajes Circular CNMC'!$H$35</f>
        <v>0.26106499999999999</v>
      </c>
      <c r="AB16" s="122">
        <f t="shared" si="26"/>
        <v>1044.26</v>
      </c>
      <c r="AC16" s="97">
        <f>'Peajes Circular CNMC'!$J$6</f>
        <v>20.326666666666664</v>
      </c>
      <c r="AD16" s="97">
        <f>'Peajes Circular CNMC'!$J$7</f>
        <v>2.2599999999999999E-2</v>
      </c>
      <c r="AE16" s="123">
        <f t="shared" si="2"/>
        <v>3144.8186946011274</v>
      </c>
      <c r="AF16" s="123">
        <f t="shared" si="3"/>
        <v>90.399999999999991</v>
      </c>
      <c r="AG16" s="122">
        <f>AE16+AF16</f>
        <v>3235.2186946011275</v>
      </c>
      <c r="AH16" s="97">
        <f>'Peajes Circular CNMC'!$K$6</f>
        <v>12.351666666666667</v>
      </c>
      <c r="AI16" s="97">
        <f>'Peajes Circular CNMC'!$K$7</f>
        <v>2.2599999999999999E-2</v>
      </c>
      <c r="AJ16" s="123">
        <f t="shared" si="4"/>
        <v>1910.9750201450443</v>
      </c>
      <c r="AK16" s="123">
        <f t="shared" si="5"/>
        <v>90.399999999999991</v>
      </c>
      <c r="AL16" s="122">
        <f t="shared" si="28"/>
        <v>2001.3750201450443</v>
      </c>
      <c r="AM16" s="98">
        <f>VLOOKUP(U16,'Peajes Circular CNMC'!$B$13:$J$23,7,FALSE)</f>
        <v>0</v>
      </c>
      <c r="AN16" s="87">
        <f>VLOOKUP(U16,'Peajes Circular CNMC'!$B$13:$J$23,8,FALSE)</f>
        <v>1110.8520000000001</v>
      </c>
      <c r="AO16" s="87">
        <f>VLOOKUP(U16,'Peajes Circular CNMC'!$B$13:$J$23,9,FALSE)</f>
        <v>8.702</v>
      </c>
      <c r="AP16" s="123">
        <f t="shared" si="6"/>
        <v>0</v>
      </c>
      <c r="AQ16" s="123">
        <f t="shared" si="29"/>
        <v>13330.224000000002</v>
      </c>
      <c r="AR16" s="123">
        <f t="shared" si="7"/>
        <v>34808</v>
      </c>
      <c r="AS16" s="122">
        <f t="shared" si="30"/>
        <v>48138.224000000002</v>
      </c>
      <c r="AT16" s="124">
        <f t="shared" si="31"/>
        <v>59647.653347300569</v>
      </c>
      <c r="AU16" s="79">
        <f t="shared" si="8"/>
        <v>14.911913336825142</v>
      </c>
      <c r="AW16" s="75">
        <f t="shared" si="9"/>
        <v>0.49462615126062803</v>
      </c>
      <c r="AX16" s="100">
        <f t="shared" si="10"/>
        <v>0.92763374201081561</v>
      </c>
      <c r="AY16" s="100">
        <f t="shared" si="11"/>
        <v>1.9848166224611912</v>
      </c>
      <c r="AZ16" s="125">
        <f t="shared" si="12"/>
        <v>37672.84915713135</v>
      </c>
      <c r="BA16" s="100">
        <f t="shared" si="13"/>
        <v>1.7143656358032489</v>
      </c>
      <c r="BB16" s="192">
        <f t="shared" si="14"/>
        <v>9.4182122892828382</v>
      </c>
    </row>
    <row r="17" spans="2:54">
      <c r="B17" s="105">
        <v>5000</v>
      </c>
      <c r="C17" s="112">
        <f>IF($C$5&lt;&gt;"Memoria CNMC",$C$5,IF(B17&gt;'Tipología Clientes'!$C$16,'Tipología Clientes'!$L$16,IF(B17&gt;'Tipología Clientes'!$C$15,'Tipología Clientes'!$L$15,IF(B17&gt;'Tipología Clientes'!$C$14,'Tipología Clientes'!$L$14,IF(B17&gt;'Tipología Clientes'!$C$13,'Tipología Clientes'!$L$13,IF(B17&gt;'Tipología Clientes'!$C$12,'Tipología Clientes'!$L$12,IF(B17&gt;'Tipología Clientes'!$C$11,'Tipología Clientes'!$L$11,IF(B17&gt;'Tipología Clientes'!$C$10,'Tipología Clientes'!$L$10,IF(B17&gt;'Tipología Clientes'!$C$9,'Tipología Clientes'!$L$9,IF(B17&gt;'Tipología Clientes'!$C$8,'Tipología Clientes'!$L$8,IF(B17&gt;'Tipología Clientes'!$C$7,'Tipología Clientes'!$L$7,'Tipología Clientes'!$L$6)))))))))))</f>
        <v>0.85</v>
      </c>
      <c r="D17" s="113">
        <f t="shared" si="15"/>
        <v>16.116035455278002</v>
      </c>
      <c r="E17" s="76" t="str">
        <f>IF(B17&gt;'Peajes Actuales'!$C$21,'Peajes Actuales'!$B$21,IF(B17&gt;'Peajes Actuales'!$C$20,'Peajes Actuales'!$B$20,IF(B17&gt;'Peajes Actuales'!$C$19,'Peajes Actuales'!$B$19,IF(B17&gt;'Peajes Actuales'!$C$18,'Peajes Actuales'!$B$18,IF(B17&gt;'Peajes Actuales'!$C$17,'Peajes Actuales'!$B$17,'Peajes Actuales'!$B$16)))))</f>
        <v>2.2</v>
      </c>
      <c r="F17" s="88">
        <f>'Peajes Actuales'!$H$29</f>
        <v>19.612000000000002</v>
      </c>
      <c r="G17" s="88">
        <f>'Peajes Actuales'!$I$29</f>
        <v>0.11599999999999999</v>
      </c>
      <c r="H17" s="123">
        <f t="shared" si="16"/>
        <v>3792.8122481869468</v>
      </c>
      <c r="I17" s="123">
        <f t="shared" si="17"/>
        <v>580</v>
      </c>
      <c r="J17" s="122">
        <f t="shared" si="18"/>
        <v>4372.8122481869468</v>
      </c>
      <c r="K17" s="89">
        <f>'Peajes Actuales'!$I$5</f>
        <v>10.848000000000001</v>
      </c>
      <c r="L17" s="122">
        <f t="shared" si="19"/>
        <v>2097.9210314262696</v>
      </c>
      <c r="M17" s="90">
        <f>VLOOKUP(E17,'Peajes Actuales'!$B$16:$J$21,7,FALSE)</f>
        <v>68.683000000000007</v>
      </c>
      <c r="N17" s="90">
        <f>VLOOKUP(E17,'Peajes Actuales'!$B$16:$J$21,9,FALSE)</f>
        <v>1.5429999999999999</v>
      </c>
      <c r="O17" s="123">
        <f t="shared" si="20"/>
        <v>13282.77195809831</v>
      </c>
      <c r="P17" s="123">
        <f t="shared" si="21"/>
        <v>7715</v>
      </c>
      <c r="Q17" s="122">
        <f t="shared" si="22"/>
        <v>20997.77195809831</v>
      </c>
      <c r="R17" s="124">
        <f t="shared" si="23"/>
        <v>27468.505237711528</v>
      </c>
      <c r="S17" s="79">
        <f t="shared" si="24"/>
        <v>5.4937010475423058</v>
      </c>
      <c r="U17" s="76" t="str">
        <f>IF(B17&gt;'Peajes Circular CNMC'!$C$23,'Peajes Circular CNMC'!$B$23,IF(B17&gt;'Peajes Circular CNMC'!$C$22,'Peajes Circular CNMC'!$B$22,IF(B17&gt;'Peajes Circular CNMC'!$C$21,'Peajes Circular CNMC'!$B$21,IF(B17&gt;'Peajes Circular CNMC'!$C$20,'Peajes Circular CNMC'!$B$20,IF(B17&gt;'Peajes Circular CNMC'!$C$19,'Peajes Circular CNMC'!$B$19,IF(B17&gt;'Peajes Circular CNMC'!$C$18,'Peajes Circular CNMC'!$B$18,IF(B17&gt;'Peajes Circular CNMC'!$C$17,'Peajes Circular CNMC'!$B$17,IF(B17&gt;'Peajes Circular CNMC'!$C$16,'Peajes Circular CNMC'!$B$16,IF(B17&gt;'Peajes Circular CNMC'!$C$15,'Peajes Circular CNMC'!$B$15,IF(B17&gt;'Peajes Circular CNMC'!$C$14,'Peajes Circular CNMC'!$B$14,'Peajes Circular CNMC'!$B$13))))))))))</f>
        <v>D.6</v>
      </c>
      <c r="V17" s="96">
        <f>'Peajes Circular CNMC'!$H$30</f>
        <v>29.867609999999999</v>
      </c>
      <c r="W17" s="88">
        <f>'Peajes Circular CNMC'!$I$30</f>
        <v>0.15190999999999999</v>
      </c>
      <c r="X17" s="123">
        <f t="shared" si="0"/>
        <v>5776.1695406929894</v>
      </c>
      <c r="Y17" s="123">
        <f t="shared" si="1"/>
        <v>759.55</v>
      </c>
      <c r="Z17" s="122">
        <f t="shared" si="25"/>
        <v>6535.7195406929895</v>
      </c>
      <c r="AA17" s="88">
        <f>'Peajes Circular CNMC'!$H$35</f>
        <v>0.26106499999999999</v>
      </c>
      <c r="AB17" s="122">
        <f t="shared" si="26"/>
        <v>1305.325</v>
      </c>
      <c r="AC17" s="97">
        <f>'Peajes Circular CNMC'!$J$6</f>
        <v>20.326666666666664</v>
      </c>
      <c r="AD17" s="97">
        <f>'Peajes Circular CNMC'!$J$7</f>
        <v>2.2599999999999999E-2</v>
      </c>
      <c r="AE17" s="123">
        <f t="shared" si="2"/>
        <v>3931.0233682514095</v>
      </c>
      <c r="AF17" s="123">
        <f t="shared" si="3"/>
        <v>112.99999999999999</v>
      </c>
      <c r="AG17" s="122">
        <f t="shared" si="27"/>
        <v>4044.0233682514095</v>
      </c>
      <c r="AH17" s="97">
        <f>'Peajes Circular CNMC'!$K$6</f>
        <v>12.351666666666667</v>
      </c>
      <c r="AI17" s="97">
        <f>'Peajes Circular CNMC'!$K$7</f>
        <v>2.2599999999999999E-2</v>
      </c>
      <c r="AJ17" s="123">
        <f t="shared" si="4"/>
        <v>2388.7187751813053</v>
      </c>
      <c r="AK17" s="123">
        <f t="shared" si="5"/>
        <v>112.99999999999999</v>
      </c>
      <c r="AL17" s="122">
        <f t="shared" si="28"/>
        <v>2501.7187751813053</v>
      </c>
      <c r="AM17" s="98">
        <f>VLOOKUP(U17,'Peajes Circular CNMC'!$B$13:$J$23,7,FALSE)</f>
        <v>0</v>
      </c>
      <c r="AN17" s="87">
        <f>VLOOKUP(U17,'Peajes Circular CNMC'!$B$13:$J$23,8,FALSE)</f>
        <v>1110.8520000000001</v>
      </c>
      <c r="AO17" s="87">
        <f>VLOOKUP(U17,'Peajes Circular CNMC'!$B$13:$J$23,9,FALSE)</f>
        <v>8.702</v>
      </c>
      <c r="AP17" s="123">
        <f t="shared" si="6"/>
        <v>0</v>
      </c>
      <c r="AQ17" s="123">
        <f t="shared" si="29"/>
        <v>13330.224000000002</v>
      </c>
      <c r="AR17" s="123">
        <f t="shared" si="7"/>
        <v>43510</v>
      </c>
      <c r="AS17" s="122">
        <f t="shared" si="30"/>
        <v>56840.224000000002</v>
      </c>
      <c r="AT17" s="124">
        <f t="shared" si="31"/>
        <v>71227.010684125707</v>
      </c>
      <c r="AU17" s="79">
        <f t="shared" si="8"/>
        <v>14.245402136825142</v>
      </c>
      <c r="AW17" s="75">
        <f t="shared" si="9"/>
        <v>0.49462615126062781</v>
      </c>
      <c r="AX17" s="100">
        <f t="shared" si="10"/>
        <v>0.92763374201081539</v>
      </c>
      <c r="AY17" s="100">
        <f t="shared" si="11"/>
        <v>1.8261066409140907</v>
      </c>
      <c r="AZ17" s="125">
        <f t="shared" si="12"/>
        <v>43758.505446414179</v>
      </c>
      <c r="BA17" s="100">
        <f t="shared" si="13"/>
        <v>1.5930428346111132</v>
      </c>
      <c r="BB17" s="192">
        <f t="shared" si="14"/>
        <v>8.751701089282836</v>
      </c>
    </row>
    <row r="18" spans="2:54">
      <c r="B18" s="105">
        <v>7500</v>
      </c>
      <c r="C18" s="112">
        <f>IF($C$5&lt;&gt;"Memoria CNMC",$C$5,IF(B18&gt;'Tipología Clientes'!$C$16,'Tipología Clientes'!$L$16,IF(B18&gt;'Tipología Clientes'!$C$15,'Tipología Clientes'!$L$15,IF(B18&gt;'Tipología Clientes'!$C$14,'Tipología Clientes'!$L$14,IF(B18&gt;'Tipología Clientes'!$C$13,'Tipología Clientes'!$L$13,IF(B18&gt;'Tipología Clientes'!$C$12,'Tipología Clientes'!$L$12,IF(B18&gt;'Tipología Clientes'!$C$11,'Tipología Clientes'!$L$11,IF(B18&gt;'Tipología Clientes'!$C$10,'Tipología Clientes'!$L$10,IF(B18&gt;'Tipología Clientes'!$C$9,'Tipología Clientes'!$L$9,IF(B18&gt;'Tipología Clientes'!$C$8,'Tipología Clientes'!$L$8,IF(B18&gt;'Tipología Clientes'!$C$7,'Tipología Clientes'!$L$7,'Tipología Clientes'!$L$6)))))))))))</f>
        <v>0.85</v>
      </c>
      <c r="D18" s="113">
        <f t="shared" si="15"/>
        <v>24.174053182917003</v>
      </c>
      <c r="E18" s="76" t="str">
        <f>IF(B18&gt;'Peajes Actuales'!$C$21,'Peajes Actuales'!$B$21,IF(B18&gt;'Peajes Actuales'!$C$20,'Peajes Actuales'!$B$20,IF(B18&gt;'Peajes Actuales'!$C$19,'Peajes Actuales'!$B$19,IF(B18&gt;'Peajes Actuales'!$C$18,'Peajes Actuales'!$B$18,IF(B18&gt;'Peajes Actuales'!$C$17,'Peajes Actuales'!$B$17,'Peajes Actuales'!$B$16)))))</f>
        <v>2.3</v>
      </c>
      <c r="F18" s="88">
        <f>'Peajes Actuales'!$H$29</f>
        <v>19.612000000000002</v>
      </c>
      <c r="G18" s="88">
        <f>'Peajes Actuales'!$I$29</f>
        <v>0.11599999999999999</v>
      </c>
      <c r="H18" s="123">
        <f t="shared" si="16"/>
        <v>5689.2183722804193</v>
      </c>
      <c r="I18" s="123">
        <f t="shared" si="17"/>
        <v>869.99999999999989</v>
      </c>
      <c r="J18" s="122">
        <f t="shared" si="18"/>
        <v>6559.2183722804193</v>
      </c>
      <c r="K18" s="89">
        <f>'Peajes Actuales'!$I$5</f>
        <v>10.848000000000001</v>
      </c>
      <c r="L18" s="122">
        <f t="shared" si="19"/>
        <v>3146.8815471394041</v>
      </c>
      <c r="M18" s="90">
        <f>VLOOKUP(E18,'Peajes Actuales'!$B$16:$J$21,7,FALSE)</f>
        <v>44.970999999999997</v>
      </c>
      <c r="N18" s="90">
        <f>VLOOKUP(E18,'Peajes Actuales'!$B$16:$J$21,9,FALSE)</f>
        <v>1.2490000000000001</v>
      </c>
      <c r="O18" s="123">
        <f t="shared" si="20"/>
        <v>13045.576148267526</v>
      </c>
      <c r="P18" s="123">
        <f t="shared" si="21"/>
        <v>9367.5</v>
      </c>
      <c r="Q18" s="122">
        <f t="shared" si="22"/>
        <v>22413.076148267526</v>
      </c>
      <c r="R18" s="124">
        <f t="shared" si="23"/>
        <v>32119.176067687349</v>
      </c>
      <c r="S18" s="79">
        <f t="shared" si="24"/>
        <v>4.2825568090249799</v>
      </c>
      <c r="U18" s="76" t="str">
        <f>IF(B18&gt;'Peajes Circular CNMC'!$C$23,'Peajes Circular CNMC'!$B$23,IF(B18&gt;'Peajes Circular CNMC'!$C$22,'Peajes Circular CNMC'!$B$22,IF(B18&gt;'Peajes Circular CNMC'!$C$21,'Peajes Circular CNMC'!$B$21,IF(B18&gt;'Peajes Circular CNMC'!$C$20,'Peajes Circular CNMC'!$B$20,IF(B18&gt;'Peajes Circular CNMC'!$C$19,'Peajes Circular CNMC'!$B$19,IF(B18&gt;'Peajes Circular CNMC'!$C$18,'Peajes Circular CNMC'!$B$18,IF(B18&gt;'Peajes Circular CNMC'!$C$17,'Peajes Circular CNMC'!$B$17,IF(B18&gt;'Peajes Circular CNMC'!$C$16,'Peajes Circular CNMC'!$B$16,IF(B18&gt;'Peajes Circular CNMC'!$C$15,'Peajes Circular CNMC'!$B$15,IF(B18&gt;'Peajes Circular CNMC'!$C$14,'Peajes Circular CNMC'!$B$14,'Peajes Circular CNMC'!$B$13))))))))))</f>
        <v>D.7</v>
      </c>
      <c r="V18" s="96">
        <f>'Peajes Circular CNMC'!$H$30</f>
        <v>29.867609999999999</v>
      </c>
      <c r="W18" s="88">
        <f>'Peajes Circular CNMC'!$I$30</f>
        <v>0.15190999999999999</v>
      </c>
      <c r="X18" s="123">
        <f t="shared" si="0"/>
        <v>8664.2543110394836</v>
      </c>
      <c r="Y18" s="123">
        <f t="shared" si="1"/>
        <v>1139.3249999999998</v>
      </c>
      <c r="Z18" s="122">
        <f t="shared" si="25"/>
        <v>9803.5793110394843</v>
      </c>
      <c r="AA18" s="88">
        <f>'Peajes Circular CNMC'!$H$35</f>
        <v>0.26106499999999999</v>
      </c>
      <c r="AB18" s="122">
        <f t="shared" si="26"/>
        <v>1957.9875</v>
      </c>
      <c r="AC18" s="97">
        <f>'Peajes Circular CNMC'!$J$6</f>
        <v>20.326666666666664</v>
      </c>
      <c r="AD18" s="97">
        <f>'Peajes Circular CNMC'!$J$7</f>
        <v>2.2599999999999999E-2</v>
      </c>
      <c r="AE18" s="123">
        <f t="shared" si="2"/>
        <v>5896.535052377114</v>
      </c>
      <c r="AF18" s="123">
        <f t="shared" si="3"/>
        <v>169.5</v>
      </c>
      <c r="AG18" s="122">
        <f t="shared" si="27"/>
        <v>6066.035052377114</v>
      </c>
      <c r="AH18" s="97">
        <f>'Peajes Circular CNMC'!$K$6</f>
        <v>12.351666666666667</v>
      </c>
      <c r="AI18" s="97">
        <f>'Peajes Circular CNMC'!$K$7</f>
        <v>2.2599999999999999E-2</v>
      </c>
      <c r="AJ18" s="123">
        <f t="shared" si="4"/>
        <v>3583.078162771958</v>
      </c>
      <c r="AK18" s="123">
        <f t="shared" si="5"/>
        <v>169.5</v>
      </c>
      <c r="AL18" s="122">
        <f t="shared" si="28"/>
        <v>3752.578162771958</v>
      </c>
      <c r="AM18" s="98">
        <f>VLOOKUP(U18,'Peajes Circular CNMC'!$B$13:$J$23,7,FALSE)</f>
        <v>86.737500000000011</v>
      </c>
      <c r="AN18" s="87">
        <f>VLOOKUP(U18,'Peajes Circular CNMC'!$B$13:$J$23,8,FALSE)</f>
        <v>0</v>
      </c>
      <c r="AO18" s="87">
        <f>VLOOKUP(U18,'Peajes Circular CNMC'!$B$13:$J$23,9,FALSE)</f>
        <v>1.0900000000000001</v>
      </c>
      <c r="AP18" s="123">
        <f t="shared" si="6"/>
        <v>25161.563255439167</v>
      </c>
      <c r="AQ18" s="123">
        <f t="shared" si="29"/>
        <v>0</v>
      </c>
      <c r="AR18" s="123">
        <f t="shared" si="7"/>
        <v>8175.0000000000009</v>
      </c>
      <c r="AS18" s="122">
        <f t="shared" si="30"/>
        <v>33336.56325543917</v>
      </c>
      <c r="AT18" s="124">
        <f>Z18+AB18+AG18+AL18+AS18</f>
        <v>54916.743281627729</v>
      </c>
      <c r="AU18" s="79">
        <f t="shared" si="8"/>
        <v>7.3222324375503636</v>
      </c>
      <c r="AW18" s="75">
        <f t="shared" si="9"/>
        <v>0.49462615126062803</v>
      </c>
      <c r="AX18" s="100">
        <f t="shared" si="10"/>
        <v>0.9276337420108155</v>
      </c>
      <c r="AY18" s="100">
        <f t="shared" si="11"/>
        <v>0.65479924187372296</v>
      </c>
      <c r="AZ18" s="125">
        <f t="shared" si="12"/>
        <v>22797.56721394038</v>
      </c>
      <c r="BA18" s="100">
        <f t="shared" si="13"/>
        <v>0.70978057363293545</v>
      </c>
      <c r="BB18" s="192">
        <f t="shared" si="14"/>
        <v>3.0396756285253836</v>
      </c>
    </row>
    <row r="19" spans="2:54">
      <c r="B19" s="105">
        <v>10000</v>
      </c>
      <c r="C19" s="112">
        <f>IF($C$5&lt;&gt;"Memoria CNMC",$C$5,IF(B19&gt;'Tipología Clientes'!$C$16,'Tipología Clientes'!$L$16,IF(B19&gt;'Tipología Clientes'!$C$15,'Tipología Clientes'!$L$15,IF(B19&gt;'Tipología Clientes'!$C$14,'Tipología Clientes'!$L$14,IF(B19&gt;'Tipología Clientes'!$C$13,'Tipología Clientes'!$L$13,IF(B19&gt;'Tipología Clientes'!$C$12,'Tipología Clientes'!$L$12,IF(B19&gt;'Tipología Clientes'!$C$11,'Tipología Clientes'!$L$11,IF(B19&gt;'Tipología Clientes'!$C$10,'Tipología Clientes'!$L$10,IF(B19&gt;'Tipología Clientes'!$C$9,'Tipología Clientes'!$L$9,IF(B19&gt;'Tipología Clientes'!$C$8,'Tipología Clientes'!$L$8,IF(B19&gt;'Tipología Clientes'!$C$7,'Tipología Clientes'!$L$7,'Tipología Clientes'!$L$6)))))))))))</f>
        <v>0.85</v>
      </c>
      <c r="D19" s="113">
        <f t="shared" si="15"/>
        <v>32.232070910556004</v>
      </c>
      <c r="E19" s="76" t="str">
        <f>IF(B19&gt;'Peajes Actuales'!$C$21,'Peajes Actuales'!$B$21,IF(B19&gt;'Peajes Actuales'!$C$20,'Peajes Actuales'!$B$20,IF(B19&gt;'Peajes Actuales'!$C$19,'Peajes Actuales'!$B$19,IF(B19&gt;'Peajes Actuales'!$C$18,'Peajes Actuales'!$B$18,IF(B19&gt;'Peajes Actuales'!$C$17,'Peajes Actuales'!$B$17,'Peajes Actuales'!$B$16)))))</f>
        <v>2.3</v>
      </c>
      <c r="F19" s="88">
        <f>'Peajes Actuales'!$H$29</f>
        <v>19.612000000000002</v>
      </c>
      <c r="G19" s="88">
        <f>'Peajes Actuales'!$I$29</f>
        <v>0.11599999999999999</v>
      </c>
      <c r="H19" s="123">
        <f t="shared" si="16"/>
        <v>7585.6244963738936</v>
      </c>
      <c r="I19" s="123">
        <f t="shared" si="17"/>
        <v>1160</v>
      </c>
      <c r="J19" s="122">
        <f t="shared" si="18"/>
        <v>8745.6244963738936</v>
      </c>
      <c r="K19" s="89">
        <f>'Peajes Actuales'!$I$5</f>
        <v>10.848000000000001</v>
      </c>
      <c r="L19" s="122">
        <f t="shared" si="19"/>
        <v>4195.8420628525391</v>
      </c>
      <c r="M19" s="90">
        <f>VLOOKUP(E19,'Peajes Actuales'!$B$16:$J$21,7,FALSE)</f>
        <v>44.970999999999997</v>
      </c>
      <c r="N19" s="90">
        <f>VLOOKUP(E19,'Peajes Actuales'!$B$16:$J$21,9,FALSE)</f>
        <v>1.2490000000000001</v>
      </c>
      <c r="O19" s="123">
        <f t="shared" si="20"/>
        <v>17394.101531023367</v>
      </c>
      <c r="P19" s="123">
        <f t="shared" si="21"/>
        <v>12490.000000000002</v>
      </c>
      <c r="Q19" s="122">
        <f t="shared" si="22"/>
        <v>29884.101531023371</v>
      </c>
      <c r="R19" s="124">
        <f t="shared" si="23"/>
        <v>42825.568090249799</v>
      </c>
      <c r="S19" s="79">
        <f t="shared" si="24"/>
        <v>4.2825568090249799</v>
      </c>
      <c r="U19" s="76" t="str">
        <f>IF(B19&gt;'Peajes Circular CNMC'!$C$23,'Peajes Circular CNMC'!$B$23,IF(B19&gt;'Peajes Circular CNMC'!$C$22,'Peajes Circular CNMC'!$B$22,IF(B19&gt;'Peajes Circular CNMC'!$C$21,'Peajes Circular CNMC'!$B$21,IF(B19&gt;'Peajes Circular CNMC'!$C$20,'Peajes Circular CNMC'!$B$20,IF(B19&gt;'Peajes Circular CNMC'!$C$19,'Peajes Circular CNMC'!$B$19,IF(B19&gt;'Peajes Circular CNMC'!$C$18,'Peajes Circular CNMC'!$B$18,IF(B19&gt;'Peajes Circular CNMC'!$C$17,'Peajes Circular CNMC'!$B$17,IF(B19&gt;'Peajes Circular CNMC'!$C$16,'Peajes Circular CNMC'!$B$16,IF(B19&gt;'Peajes Circular CNMC'!$C$15,'Peajes Circular CNMC'!$B$15,IF(B19&gt;'Peajes Circular CNMC'!$C$14,'Peajes Circular CNMC'!$B$14,'Peajes Circular CNMC'!$B$13))))))))))</f>
        <v>D.7</v>
      </c>
      <c r="V19" s="96">
        <f>'Peajes Circular CNMC'!$H$30</f>
        <v>29.867609999999999</v>
      </c>
      <c r="W19" s="88">
        <f>'Peajes Circular CNMC'!$I$30</f>
        <v>0.15190999999999999</v>
      </c>
      <c r="X19" s="123">
        <f t="shared" si="0"/>
        <v>11552.339081385979</v>
      </c>
      <c r="Y19" s="123">
        <f t="shared" si="1"/>
        <v>1519.1</v>
      </c>
      <c r="Z19" s="122">
        <f t="shared" si="25"/>
        <v>13071.439081385979</v>
      </c>
      <c r="AA19" s="88">
        <f>'Peajes Circular CNMC'!$H$35</f>
        <v>0.26106499999999999</v>
      </c>
      <c r="AB19" s="122">
        <f t="shared" si="26"/>
        <v>2610.65</v>
      </c>
      <c r="AC19" s="97">
        <f>'Peajes Circular CNMC'!$J$6</f>
        <v>20.326666666666664</v>
      </c>
      <c r="AD19" s="97">
        <f>'Peajes Circular CNMC'!$J$7</f>
        <v>2.2599999999999999E-2</v>
      </c>
      <c r="AE19" s="123">
        <f t="shared" si="2"/>
        <v>7862.0467365028189</v>
      </c>
      <c r="AF19" s="123">
        <f t="shared" si="3"/>
        <v>225.99999999999997</v>
      </c>
      <c r="AG19" s="122">
        <f t="shared" si="27"/>
        <v>8088.0467365028189</v>
      </c>
      <c r="AH19" s="97">
        <f>'Peajes Circular CNMC'!$K$6</f>
        <v>12.351666666666667</v>
      </c>
      <c r="AI19" s="97">
        <f>'Peajes Circular CNMC'!$K$7</f>
        <v>2.2599999999999999E-2</v>
      </c>
      <c r="AJ19" s="123">
        <f t="shared" si="4"/>
        <v>4777.4375503626106</v>
      </c>
      <c r="AK19" s="123">
        <f t="shared" si="5"/>
        <v>225.99999999999997</v>
      </c>
      <c r="AL19" s="122">
        <f t="shared" si="28"/>
        <v>5003.4375503626106</v>
      </c>
      <c r="AM19" s="98">
        <f>VLOOKUP(U19,'Peajes Circular CNMC'!$B$13:$J$23,7,FALSE)</f>
        <v>86.737500000000011</v>
      </c>
      <c r="AN19" s="87">
        <f>VLOOKUP(U19,'Peajes Circular CNMC'!$B$13:$J$23,8,FALSE)</f>
        <v>0</v>
      </c>
      <c r="AO19" s="87">
        <f>VLOOKUP(U19,'Peajes Circular CNMC'!$B$13:$J$23,9,FALSE)</f>
        <v>1.0900000000000001</v>
      </c>
      <c r="AP19" s="123">
        <f t="shared" si="6"/>
        <v>33548.75100725222</v>
      </c>
      <c r="AQ19" s="123">
        <f t="shared" si="29"/>
        <v>0</v>
      </c>
      <c r="AR19" s="123">
        <f t="shared" si="7"/>
        <v>10900</v>
      </c>
      <c r="AS19" s="122">
        <f t="shared" si="30"/>
        <v>44448.75100725222</v>
      </c>
      <c r="AT19" s="124">
        <f t="shared" si="31"/>
        <v>73222.324375503624</v>
      </c>
      <c r="AU19" s="79">
        <f t="shared" si="8"/>
        <v>7.3222324375503627</v>
      </c>
      <c r="AW19" s="75">
        <f t="shared" si="9"/>
        <v>0.49462615126062781</v>
      </c>
      <c r="AX19" s="100">
        <f t="shared" si="10"/>
        <v>0.92763374201081539</v>
      </c>
      <c r="AY19" s="100">
        <f t="shared" si="11"/>
        <v>0.65479924187372285</v>
      </c>
      <c r="AZ19" s="125">
        <f t="shared" si="12"/>
        <v>30396.756285253825</v>
      </c>
      <c r="BA19" s="100">
        <f t="shared" si="13"/>
        <v>0.70978057363293512</v>
      </c>
      <c r="BB19" s="192">
        <f t="shared" si="14"/>
        <v>3.0396756285253828</v>
      </c>
    </row>
    <row r="20" spans="2:54">
      <c r="B20" s="105">
        <v>15000</v>
      </c>
      <c r="C20" s="112">
        <f>IF($C$5&lt;&gt;"Memoria CNMC",$C$5,IF(B20&gt;'Tipología Clientes'!$C$16,'Tipología Clientes'!$L$16,IF(B20&gt;'Tipología Clientes'!$C$15,'Tipología Clientes'!$L$15,IF(B20&gt;'Tipología Clientes'!$C$14,'Tipología Clientes'!$L$14,IF(B20&gt;'Tipología Clientes'!$C$13,'Tipología Clientes'!$L$13,IF(B20&gt;'Tipología Clientes'!$C$12,'Tipología Clientes'!$L$12,IF(B20&gt;'Tipología Clientes'!$C$11,'Tipología Clientes'!$L$11,IF(B20&gt;'Tipología Clientes'!$C$10,'Tipología Clientes'!$L$10,IF(B20&gt;'Tipología Clientes'!$C$9,'Tipología Clientes'!$L$9,IF(B20&gt;'Tipología Clientes'!$C$8,'Tipología Clientes'!$L$8,IF(B20&gt;'Tipología Clientes'!$C$7,'Tipología Clientes'!$L$7,'Tipología Clientes'!$L$6)))))))))))</f>
        <v>0.85</v>
      </c>
      <c r="D20" s="113">
        <f t="shared" si="15"/>
        <v>48.348106365834006</v>
      </c>
      <c r="E20" s="76" t="str">
        <f>IF(B20&gt;'Peajes Actuales'!$C$21,'Peajes Actuales'!$B$21,IF(B20&gt;'Peajes Actuales'!$C$20,'Peajes Actuales'!$B$20,IF(B20&gt;'Peajes Actuales'!$C$19,'Peajes Actuales'!$B$19,IF(B20&gt;'Peajes Actuales'!$C$18,'Peajes Actuales'!$B$18,IF(B20&gt;'Peajes Actuales'!$C$17,'Peajes Actuales'!$B$17,'Peajes Actuales'!$B$16)))))</f>
        <v>2.3</v>
      </c>
      <c r="F20" s="88">
        <f>'Peajes Actuales'!$H$29</f>
        <v>19.612000000000002</v>
      </c>
      <c r="G20" s="88">
        <f>'Peajes Actuales'!$I$29</f>
        <v>0.11599999999999999</v>
      </c>
      <c r="H20" s="123">
        <f t="shared" si="16"/>
        <v>11378.436744560839</v>
      </c>
      <c r="I20" s="123">
        <f t="shared" si="17"/>
        <v>1739.9999999999998</v>
      </c>
      <c r="J20" s="122">
        <f t="shared" si="18"/>
        <v>13118.436744560839</v>
      </c>
      <c r="K20" s="89">
        <f>'Peajes Actuales'!$I$5</f>
        <v>10.848000000000001</v>
      </c>
      <c r="L20" s="122">
        <f t="shared" si="19"/>
        <v>6293.7630942788082</v>
      </c>
      <c r="M20" s="90">
        <f>VLOOKUP(E20,'Peajes Actuales'!$B$16:$J$21,7,FALSE)</f>
        <v>44.970999999999997</v>
      </c>
      <c r="N20" s="90">
        <f>VLOOKUP(E20,'Peajes Actuales'!$B$16:$J$21,9,FALSE)</f>
        <v>1.2490000000000001</v>
      </c>
      <c r="O20" s="123">
        <f t="shared" si="20"/>
        <v>26091.152296535052</v>
      </c>
      <c r="P20" s="123">
        <f t="shared" si="21"/>
        <v>18735</v>
      </c>
      <c r="Q20" s="122">
        <f t="shared" si="22"/>
        <v>44826.152296535052</v>
      </c>
      <c r="R20" s="124">
        <f t="shared" si="23"/>
        <v>64238.352135374698</v>
      </c>
      <c r="S20" s="79">
        <f t="shared" si="24"/>
        <v>4.2825568090249799</v>
      </c>
      <c r="U20" s="76" t="str">
        <f>IF(B20&gt;'Peajes Circular CNMC'!$C$23,'Peajes Circular CNMC'!$B$23,IF(B20&gt;'Peajes Circular CNMC'!$C$22,'Peajes Circular CNMC'!$B$22,IF(B20&gt;'Peajes Circular CNMC'!$C$21,'Peajes Circular CNMC'!$B$21,IF(B20&gt;'Peajes Circular CNMC'!$C$20,'Peajes Circular CNMC'!$B$20,IF(B20&gt;'Peajes Circular CNMC'!$C$19,'Peajes Circular CNMC'!$B$19,IF(B20&gt;'Peajes Circular CNMC'!$C$18,'Peajes Circular CNMC'!$B$18,IF(B20&gt;'Peajes Circular CNMC'!$C$17,'Peajes Circular CNMC'!$B$17,IF(B20&gt;'Peajes Circular CNMC'!$C$16,'Peajes Circular CNMC'!$B$16,IF(B20&gt;'Peajes Circular CNMC'!$C$15,'Peajes Circular CNMC'!$B$15,IF(B20&gt;'Peajes Circular CNMC'!$C$14,'Peajes Circular CNMC'!$B$14,'Peajes Circular CNMC'!$B$13))))))))))</f>
        <v>D.7</v>
      </c>
      <c r="V20" s="96">
        <f>'Peajes Circular CNMC'!$H$30</f>
        <v>29.867609999999999</v>
      </c>
      <c r="W20" s="88">
        <f>'Peajes Circular CNMC'!$I$30</f>
        <v>0.15190999999999999</v>
      </c>
      <c r="X20" s="123">
        <f t="shared" si="0"/>
        <v>17328.508622078967</v>
      </c>
      <c r="Y20" s="123">
        <f t="shared" si="1"/>
        <v>2278.6499999999996</v>
      </c>
      <c r="Z20" s="122">
        <f t="shared" si="25"/>
        <v>19607.158622078969</v>
      </c>
      <c r="AA20" s="88">
        <f>'Peajes Circular CNMC'!$H$35</f>
        <v>0.26106499999999999</v>
      </c>
      <c r="AB20" s="122">
        <f t="shared" si="26"/>
        <v>3915.9749999999999</v>
      </c>
      <c r="AC20" s="97">
        <f>'Peajes Circular CNMC'!$J$6</f>
        <v>20.326666666666664</v>
      </c>
      <c r="AD20" s="97">
        <f>'Peajes Circular CNMC'!$J$7</f>
        <v>2.2599999999999999E-2</v>
      </c>
      <c r="AE20" s="123">
        <f t="shared" si="2"/>
        <v>11793.070104754228</v>
      </c>
      <c r="AF20" s="123">
        <f t="shared" si="3"/>
        <v>339</v>
      </c>
      <c r="AG20" s="122">
        <f t="shared" si="27"/>
        <v>12132.070104754228</v>
      </c>
      <c r="AH20" s="97">
        <f>'Peajes Circular CNMC'!$K$6</f>
        <v>12.351666666666667</v>
      </c>
      <c r="AI20" s="97">
        <f>'Peajes Circular CNMC'!$K$7</f>
        <v>2.2599999999999999E-2</v>
      </c>
      <c r="AJ20" s="123">
        <f t="shared" si="4"/>
        <v>7166.156325543916</v>
      </c>
      <c r="AK20" s="123">
        <f t="shared" si="5"/>
        <v>339</v>
      </c>
      <c r="AL20" s="122">
        <f t="shared" si="28"/>
        <v>7505.156325543916</v>
      </c>
      <c r="AM20" s="98">
        <f>VLOOKUP(U20,'Peajes Circular CNMC'!$B$13:$J$23,7,FALSE)</f>
        <v>86.737500000000011</v>
      </c>
      <c r="AN20" s="87">
        <f>VLOOKUP(U20,'Peajes Circular CNMC'!$B$13:$J$23,8,FALSE)</f>
        <v>0</v>
      </c>
      <c r="AO20" s="87">
        <f>VLOOKUP(U20,'Peajes Circular CNMC'!$B$13:$J$23,9,FALSE)</f>
        <v>1.0900000000000001</v>
      </c>
      <c r="AP20" s="123">
        <f t="shared" si="6"/>
        <v>50323.126510878334</v>
      </c>
      <c r="AQ20" s="123">
        <f t="shared" si="29"/>
        <v>0</v>
      </c>
      <c r="AR20" s="123">
        <f t="shared" si="7"/>
        <v>16350.000000000002</v>
      </c>
      <c r="AS20" s="122">
        <f t="shared" si="30"/>
        <v>66673.126510878341</v>
      </c>
      <c r="AT20" s="124">
        <f t="shared" si="31"/>
        <v>109833.48656325546</v>
      </c>
      <c r="AU20" s="79">
        <f t="shared" si="8"/>
        <v>7.3222324375503636</v>
      </c>
      <c r="AW20" s="75">
        <f t="shared" si="9"/>
        <v>0.49462615126062803</v>
      </c>
      <c r="AX20" s="100">
        <f t="shared" si="10"/>
        <v>0.9276337420108155</v>
      </c>
      <c r="AY20" s="100">
        <f t="shared" si="11"/>
        <v>0.65479924187372296</v>
      </c>
      <c r="AZ20" s="125">
        <f t="shared" si="12"/>
        <v>45595.134427880759</v>
      </c>
      <c r="BA20" s="100">
        <f t="shared" si="13"/>
        <v>0.70978057363293545</v>
      </c>
      <c r="BB20" s="192">
        <f t="shared" si="14"/>
        <v>3.0396756285253836</v>
      </c>
    </row>
    <row r="21" spans="2:54">
      <c r="B21" s="105">
        <v>20000</v>
      </c>
      <c r="C21" s="112">
        <f>IF($C$5&lt;&gt;"Memoria CNMC",$C$5,IF(B21&gt;'Tipología Clientes'!$C$16,'Tipología Clientes'!$L$16,IF(B21&gt;'Tipología Clientes'!$C$15,'Tipología Clientes'!$L$15,IF(B21&gt;'Tipología Clientes'!$C$14,'Tipología Clientes'!$L$14,IF(B21&gt;'Tipología Clientes'!$C$13,'Tipología Clientes'!$L$13,IF(B21&gt;'Tipología Clientes'!$C$12,'Tipología Clientes'!$L$12,IF(B21&gt;'Tipología Clientes'!$C$11,'Tipología Clientes'!$L$11,IF(B21&gt;'Tipología Clientes'!$C$10,'Tipología Clientes'!$L$10,IF(B21&gt;'Tipología Clientes'!$C$9,'Tipología Clientes'!$L$9,IF(B21&gt;'Tipología Clientes'!$C$8,'Tipología Clientes'!$L$8,IF(B21&gt;'Tipología Clientes'!$C$7,'Tipología Clientes'!$L$7,'Tipología Clientes'!$L$6)))))))))))</f>
        <v>0.85</v>
      </c>
      <c r="D21" s="113">
        <f t="shared" si="15"/>
        <v>64.464141821112008</v>
      </c>
      <c r="E21" s="76" t="str">
        <f>IF(B21&gt;'Peajes Actuales'!$C$21,'Peajes Actuales'!$B$21,IF(B21&gt;'Peajes Actuales'!$C$20,'Peajes Actuales'!$B$20,IF(B21&gt;'Peajes Actuales'!$C$19,'Peajes Actuales'!$B$19,IF(B21&gt;'Peajes Actuales'!$C$18,'Peajes Actuales'!$B$18,IF(B21&gt;'Peajes Actuales'!$C$17,'Peajes Actuales'!$B$17,'Peajes Actuales'!$B$16)))))</f>
        <v>2.3</v>
      </c>
      <c r="F21" s="88">
        <f>'Peajes Actuales'!$H$29</f>
        <v>19.612000000000002</v>
      </c>
      <c r="G21" s="88">
        <f>'Peajes Actuales'!$I$29</f>
        <v>0.11599999999999999</v>
      </c>
      <c r="H21" s="123">
        <f t="shared" si="16"/>
        <v>15171.248992747787</v>
      </c>
      <c r="I21" s="123">
        <f t="shared" si="17"/>
        <v>2320</v>
      </c>
      <c r="J21" s="122">
        <f t="shared" si="18"/>
        <v>17491.248992747787</v>
      </c>
      <c r="K21" s="89">
        <f>'Peajes Actuales'!$I$5</f>
        <v>10.848000000000001</v>
      </c>
      <c r="L21" s="122">
        <f t="shared" si="19"/>
        <v>8391.6841257050783</v>
      </c>
      <c r="M21" s="90">
        <f>VLOOKUP(E21,'Peajes Actuales'!$B$16:$J$21,7,FALSE)</f>
        <v>44.970999999999997</v>
      </c>
      <c r="N21" s="90">
        <f>VLOOKUP(E21,'Peajes Actuales'!$B$16:$J$21,9,FALSE)</f>
        <v>1.2490000000000001</v>
      </c>
      <c r="O21" s="123">
        <f t="shared" si="20"/>
        <v>34788.203062046734</v>
      </c>
      <c r="P21" s="123">
        <f t="shared" si="21"/>
        <v>24980.000000000004</v>
      </c>
      <c r="Q21" s="122">
        <f t="shared" si="22"/>
        <v>59768.203062046741</v>
      </c>
      <c r="R21" s="124">
        <f t="shared" si="23"/>
        <v>85651.136180499598</v>
      </c>
      <c r="S21" s="79">
        <f t="shared" si="24"/>
        <v>4.2825568090249799</v>
      </c>
      <c r="U21" s="76" t="str">
        <f>IF(B21&gt;'Peajes Circular CNMC'!$C$23,'Peajes Circular CNMC'!$B$23,IF(B21&gt;'Peajes Circular CNMC'!$C$22,'Peajes Circular CNMC'!$B$22,IF(B21&gt;'Peajes Circular CNMC'!$C$21,'Peajes Circular CNMC'!$B$21,IF(B21&gt;'Peajes Circular CNMC'!$C$20,'Peajes Circular CNMC'!$B$20,IF(B21&gt;'Peajes Circular CNMC'!$C$19,'Peajes Circular CNMC'!$B$19,IF(B21&gt;'Peajes Circular CNMC'!$C$18,'Peajes Circular CNMC'!$B$18,IF(B21&gt;'Peajes Circular CNMC'!$C$17,'Peajes Circular CNMC'!$B$17,IF(B21&gt;'Peajes Circular CNMC'!$C$16,'Peajes Circular CNMC'!$B$16,IF(B21&gt;'Peajes Circular CNMC'!$C$15,'Peajes Circular CNMC'!$B$15,IF(B21&gt;'Peajes Circular CNMC'!$C$14,'Peajes Circular CNMC'!$B$14,'Peajes Circular CNMC'!$B$13))))))))))</f>
        <v>D.8</v>
      </c>
      <c r="V21" s="96">
        <f>'Peajes Circular CNMC'!$H$30</f>
        <v>29.867609999999999</v>
      </c>
      <c r="W21" s="88">
        <f>'Peajes Circular CNMC'!$I$30</f>
        <v>0.15190999999999999</v>
      </c>
      <c r="X21" s="123">
        <f t="shared" si="0"/>
        <v>23104.678162771957</v>
      </c>
      <c r="Y21" s="123">
        <f t="shared" si="1"/>
        <v>3038.2</v>
      </c>
      <c r="Z21" s="122">
        <f t="shared" si="25"/>
        <v>26142.878162771958</v>
      </c>
      <c r="AA21" s="88">
        <f>'Peajes Circular CNMC'!$H$35</f>
        <v>0.26106499999999999</v>
      </c>
      <c r="AB21" s="122">
        <f t="shared" si="26"/>
        <v>5221.3</v>
      </c>
      <c r="AC21" s="97">
        <f>'Peajes Circular CNMC'!$J$6</f>
        <v>20.326666666666664</v>
      </c>
      <c r="AD21" s="97">
        <f>'Peajes Circular CNMC'!$J$7</f>
        <v>2.2599999999999999E-2</v>
      </c>
      <c r="AE21" s="123">
        <f t="shared" si="2"/>
        <v>15724.093473005638</v>
      </c>
      <c r="AF21" s="123">
        <f t="shared" si="3"/>
        <v>451.99999999999994</v>
      </c>
      <c r="AG21" s="122">
        <f t="shared" si="27"/>
        <v>16176.093473005638</v>
      </c>
      <c r="AH21" s="97">
        <f>'Peajes Circular CNMC'!$K$6</f>
        <v>12.351666666666667</v>
      </c>
      <c r="AI21" s="97">
        <f>'Peajes Circular CNMC'!$K$7</f>
        <v>2.2599999999999999E-2</v>
      </c>
      <c r="AJ21" s="123">
        <f t="shared" si="4"/>
        <v>9554.8751007252213</v>
      </c>
      <c r="AK21" s="123">
        <f t="shared" si="5"/>
        <v>451.99999999999994</v>
      </c>
      <c r="AL21" s="122">
        <f t="shared" si="28"/>
        <v>10006.875100725221</v>
      </c>
      <c r="AM21" s="98">
        <f>VLOOKUP(U21,'Peajes Circular CNMC'!$B$13:$J$23,7,FALSE)</f>
        <v>42.213333333333331</v>
      </c>
      <c r="AN21" s="87">
        <f>VLOOKUP(U21,'Peajes Circular CNMC'!$B$13:$J$23,8,FALSE)</f>
        <v>0</v>
      </c>
      <c r="AO21" s="87">
        <f>VLOOKUP(U21,'Peajes Circular CNMC'!$B$13:$J$23,9,FALSE)</f>
        <v>0.70599999999999996</v>
      </c>
      <c r="AP21" s="123">
        <f t="shared" si="6"/>
        <v>32654.955680902494</v>
      </c>
      <c r="AQ21" s="123">
        <f t="shared" si="29"/>
        <v>0</v>
      </c>
      <c r="AR21" s="123">
        <f t="shared" si="7"/>
        <v>14120</v>
      </c>
      <c r="AS21" s="122">
        <f t="shared" si="30"/>
        <v>46774.955680902494</v>
      </c>
      <c r="AT21" s="124">
        <f t="shared" si="31"/>
        <v>104322.10241740532</v>
      </c>
      <c r="AU21" s="79">
        <f t="shared" si="8"/>
        <v>5.2161051208702656</v>
      </c>
      <c r="AW21" s="75">
        <f t="shared" si="9"/>
        <v>0.49462615126062781</v>
      </c>
      <c r="AX21" s="100">
        <f t="shared" si="10"/>
        <v>0.92763374201081539</v>
      </c>
      <c r="AY21" s="100">
        <f t="shared" si="11"/>
        <v>-4.9965903731768617E-2</v>
      </c>
      <c r="AZ21" s="125">
        <f t="shared" si="12"/>
        <v>18670.966236905719</v>
      </c>
      <c r="BA21" s="100">
        <f t="shared" si="13"/>
        <v>0.21798854130269649</v>
      </c>
      <c r="BB21" s="192">
        <f t="shared" si="14"/>
        <v>0.93354831184528564</v>
      </c>
    </row>
    <row r="22" spans="2:54">
      <c r="B22" s="105">
        <v>25000</v>
      </c>
      <c r="C22" s="112">
        <f>IF($C$5&lt;&gt;"Memoria CNMC",$C$5,IF(B22&gt;'Tipología Clientes'!$C$16,'Tipología Clientes'!$L$16,IF(B22&gt;'Tipología Clientes'!$C$15,'Tipología Clientes'!$L$15,IF(B22&gt;'Tipología Clientes'!$C$14,'Tipología Clientes'!$L$14,IF(B22&gt;'Tipología Clientes'!$C$13,'Tipología Clientes'!$L$13,IF(B22&gt;'Tipología Clientes'!$C$12,'Tipología Clientes'!$L$12,IF(B22&gt;'Tipología Clientes'!$C$11,'Tipología Clientes'!$L$11,IF(B22&gt;'Tipología Clientes'!$C$10,'Tipología Clientes'!$L$10,IF(B22&gt;'Tipología Clientes'!$C$9,'Tipología Clientes'!$L$9,IF(B22&gt;'Tipología Clientes'!$C$8,'Tipología Clientes'!$L$8,IF(B22&gt;'Tipología Clientes'!$C$7,'Tipología Clientes'!$L$7,'Tipología Clientes'!$L$6)))))))))))</f>
        <v>0.85</v>
      </c>
      <c r="D22" s="113">
        <f t="shared" ref="D22:D39" si="32">B22/365/C22</f>
        <v>80.580177276390017</v>
      </c>
      <c r="E22" s="76" t="str">
        <f>IF(B22&gt;'Peajes Actuales'!$C$21,'Peajes Actuales'!$B$21,IF(B22&gt;'Peajes Actuales'!$C$20,'Peajes Actuales'!$B$20,IF(B22&gt;'Peajes Actuales'!$C$19,'Peajes Actuales'!$B$19,IF(B22&gt;'Peajes Actuales'!$C$18,'Peajes Actuales'!$B$18,IF(B22&gt;'Peajes Actuales'!$C$17,'Peajes Actuales'!$B$17,'Peajes Actuales'!$B$16)))))</f>
        <v>2.3</v>
      </c>
      <c r="F22" s="88">
        <f>'Peajes Actuales'!$H$29</f>
        <v>19.612000000000002</v>
      </c>
      <c r="G22" s="88">
        <f>'Peajes Actuales'!$I$29</f>
        <v>0.11599999999999999</v>
      </c>
      <c r="H22" s="123">
        <f t="shared" ref="H22:H39" si="33">D22*F22*12</f>
        <v>18964.061240934734</v>
      </c>
      <c r="I22" s="123">
        <f t="shared" ref="I22:I39" si="34">B22*G22</f>
        <v>2900</v>
      </c>
      <c r="J22" s="122">
        <f t="shared" ref="J22:J39" si="35">H22+I22</f>
        <v>21864.061240934734</v>
      </c>
      <c r="K22" s="89">
        <f>'Peajes Actuales'!$I$5</f>
        <v>10.848000000000001</v>
      </c>
      <c r="L22" s="122">
        <f t="shared" ref="L22:L39" si="36">12*K22*D22</f>
        <v>10489.605157131347</v>
      </c>
      <c r="M22" s="90">
        <f>VLOOKUP(E22,'Peajes Actuales'!$B$16:$J$21,7,FALSE)</f>
        <v>44.970999999999997</v>
      </c>
      <c r="N22" s="90">
        <f>VLOOKUP(E22,'Peajes Actuales'!$B$16:$J$21,9,FALSE)</f>
        <v>1.2490000000000001</v>
      </c>
      <c r="O22" s="123">
        <f t="shared" ref="O22:O39" si="37">M22*D22*12</f>
        <v>43485.253827558423</v>
      </c>
      <c r="P22" s="123">
        <f t="shared" ref="P22:P39" si="38">B22*N22</f>
        <v>31225.000000000004</v>
      </c>
      <c r="Q22" s="122">
        <f t="shared" ref="Q22:Q39" si="39">SUM(O22:P22)</f>
        <v>74710.253827558423</v>
      </c>
      <c r="R22" s="124">
        <f t="shared" ref="R22:R39" si="40">J22+L22+Q22</f>
        <v>107063.9202256245</v>
      </c>
      <c r="S22" s="79">
        <f t="shared" ref="S22:S39" si="41">R22/B22</f>
        <v>4.2825568090249799</v>
      </c>
      <c r="U22" s="76" t="str">
        <f>IF(B22&gt;'Peajes Circular CNMC'!$C$23,'Peajes Circular CNMC'!$B$23,IF(B22&gt;'Peajes Circular CNMC'!$C$22,'Peajes Circular CNMC'!$B$22,IF(B22&gt;'Peajes Circular CNMC'!$C$21,'Peajes Circular CNMC'!$B$21,IF(B22&gt;'Peajes Circular CNMC'!$C$20,'Peajes Circular CNMC'!$B$20,IF(B22&gt;'Peajes Circular CNMC'!$C$19,'Peajes Circular CNMC'!$B$19,IF(B22&gt;'Peajes Circular CNMC'!$C$18,'Peajes Circular CNMC'!$B$18,IF(B22&gt;'Peajes Circular CNMC'!$C$17,'Peajes Circular CNMC'!$B$17,IF(B22&gt;'Peajes Circular CNMC'!$C$16,'Peajes Circular CNMC'!$B$16,IF(B22&gt;'Peajes Circular CNMC'!$C$15,'Peajes Circular CNMC'!$B$15,IF(B22&gt;'Peajes Circular CNMC'!$C$14,'Peajes Circular CNMC'!$B$14,'Peajes Circular CNMC'!$B$13))))))))))</f>
        <v>D.8</v>
      </c>
      <c r="V22" s="96">
        <f>'Peajes Circular CNMC'!$H$30</f>
        <v>29.867609999999999</v>
      </c>
      <c r="W22" s="88">
        <f>'Peajes Circular CNMC'!$I$30</f>
        <v>0.15190999999999999</v>
      </c>
      <c r="X22" s="123">
        <f t="shared" si="0"/>
        <v>28880.847703464951</v>
      </c>
      <c r="Y22" s="123">
        <f t="shared" si="1"/>
        <v>3797.7499999999995</v>
      </c>
      <c r="Z22" s="122">
        <f t="shared" si="25"/>
        <v>32678.597703464951</v>
      </c>
      <c r="AA22" s="88">
        <f>'Peajes Circular CNMC'!$H$35</f>
        <v>0.26106499999999999</v>
      </c>
      <c r="AB22" s="122">
        <f t="shared" si="26"/>
        <v>6526.625</v>
      </c>
      <c r="AC22" s="97">
        <f>'Peajes Circular CNMC'!$J$6</f>
        <v>20.326666666666664</v>
      </c>
      <c r="AD22" s="97">
        <f>'Peajes Circular CNMC'!$J$7</f>
        <v>2.2599999999999999E-2</v>
      </c>
      <c r="AE22" s="123">
        <f t="shared" si="2"/>
        <v>19655.116841257051</v>
      </c>
      <c r="AF22" s="123">
        <f t="shared" si="3"/>
        <v>565</v>
      </c>
      <c r="AG22" s="122">
        <f t="shared" si="27"/>
        <v>20220.116841257051</v>
      </c>
      <c r="AH22" s="97">
        <f>'Peajes Circular CNMC'!$K$6</f>
        <v>12.351666666666667</v>
      </c>
      <c r="AI22" s="97">
        <f>'Peajes Circular CNMC'!$K$7</f>
        <v>2.2599999999999999E-2</v>
      </c>
      <c r="AJ22" s="123">
        <f t="shared" si="4"/>
        <v>11943.593875906528</v>
      </c>
      <c r="AK22" s="123">
        <f t="shared" si="5"/>
        <v>565</v>
      </c>
      <c r="AL22" s="122">
        <f t="shared" si="28"/>
        <v>12508.593875906528</v>
      </c>
      <c r="AM22" s="98">
        <f>VLOOKUP(U22,'Peajes Circular CNMC'!$B$13:$J$23,7,FALSE)</f>
        <v>42.213333333333331</v>
      </c>
      <c r="AN22" s="87">
        <f>VLOOKUP(U22,'Peajes Circular CNMC'!$B$13:$J$23,8,FALSE)</f>
        <v>0</v>
      </c>
      <c r="AO22" s="87">
        <f>VLOOKUP(U22,'Peajes Circular CNMC'!$B$13:$J$23,9,FALSE)</f>
        <v>0.70599999999999996</v>
      </c>
      <c r="AP22" s="123">
        <f t="shared" si="6"/>
        <v>40818.694601128125</v>
      </c>
      <c r="AQ22" s="123">
        <f t="shared" si="29"/>
        <v>0</v>
      </c>
      <c r="AR22" s="123">
        <f t="shared" si="7"/>
        <v>17650</v>
      </c>
      <c r="AS22" s="122">
        <f t="shared" si="30"/>
        <v>58468.694601128125</v>
      </c>
      <c r="AT22" s="124">
        <f t="shared" si="31"/>
        <v>130402.62802175667</v>
      </c>
      <c r="AU22" s="79">
        <f t="shared" si="8"/>
        <v>5.2161051208702665</v>
      </c>
      <c r="AW22" s="75">
        <f t="shared" si="9"/>
        <v>0.49462615126062798</v>
      </c>
      <c r="AX22" s="100">
        <f t="shared" si="10"/>
        <v>0.92763374201081583</v>
      </c>
      <c r="AY22" s="100">
        <f t="shared" si="11"/>
        <v>-4.9965903731768395E-2</v>
      </c>
      <c r="AZ22" s="125">
        <f t="shared" si="12"/>
        <v>23338.707796132163</v>
      </c>
      <c r="BA22" s="100">
        <f t="shared" si="13"/>
        <v>0.21798854130269663</v>
      </c>
      <c r="BB22" s="192">
        <f t="shared" si="14"/>
        <v>0.93354831184528653</v>
      </c>
    </row>
    <row r="23" spans="2:54">
      <c r="B23" s="105">
        <v>30000</v>
      </c>
      <c r="C23" s="112">
        <f>IF($C$5&lt;&gt;"Memoria CNMC",$C$5,IF(B23&gt;'Tipología Clientes'!$C$16,'Tipología Clientes'!$L$16,IF(B23&gt;'Tipología Clientes'!$C$15,'Tipología Clientes'!$L$15,IF(B23&gt;'Tipología Clientes'!$C$14,'Tipología Clientes'!$L$14,IF(B23&gt;'Tipología Clientes'!$C$13,'Tipología Clientes'!$L$13,IF(B23&gt;'Tipología Clientes'!$C$12,'Tipología Clientes'!$L$12,IF(B23&gt;'Tipología Clientes'!$C$11,'Tipología Clientes'!$L$11,IF(B23&gt;'Tipología Clientes'!$C$10,'Tipología Clientes'!$L$10,IF(B23&gt;'Tipología Clientes'!$C$9,'Tipología Clientes'!$L$9,IF(B23&gt;'Tipología Clientes'!$C$8,'Tipología Clientes'!$L$8,IF(B23&gt;'Tipología Clientes'!$C$7,'Tipología Clientes'!$L$7,'Tipología Clientes'!$L$6)))))))))))</f>
        <v>0.85</v>
      </c>
      <c r="D23" s="113">
        <f t="shared" si="32"/>
        <v>96.696212731668012</v>
      </c>
      <c r="E23" s="76" t="str">
        <f>IF(B23&gt;'Peajes Actuales'!$C$21,'Peajes Actuales'!$B$21,IF(B23&gt;'Peajes Actuales'!$C$20,'Peajes Actuales'!$B$20,IF(B23&gt;'Peajes Actuales'!$C$19,'Peajes Actuales'!$B$19,IF(B23&gt;'Peajes Actuales'!$C$18,'Peajes Actuales'!$B$18,IF(B23&gt;'Peajes Actuales'!$C$17,'Peajes Actuales'!$B$17,'Peajes Actuales'!$B$16)))))</f>
        <v>2.3</v>
      </c>
      <c r="F23" s="88">
        <f>'Peajes Actuales'!$H$29</f>
        <v>19.612000000000002</v>
      </c>
      <c r="G23" s="88">
        <f>'Peajes Actuales'!$I$29</f>
        <v>0.11599999999999999</v>
      </c>
      <c r="H23" s="123">
        <f t="shared" si="33"/>
        <v>22756.873489121677</v>
      </c>
      <c r="I23" s="123">
        <f t="shared" si="34"/>
        <v>3479.9999999999995</v>
      </c>
      <c r="J23" s="122">
        <f t="shared" si="35"/>
        <v>26236.873489121677</v>
      </c>
      <c r="K23" s="89">
        <f>'Peajes Actuales'!$I$5</f>
        <v>10.848000000000001</v>
      </c>
      <c r="L23" s="122">
        <f t="shared" si="36"/>
        <v>12587.526188557616</v>
      </c>
      <c r="M23" s="90">
        <f>VLOOKUP(E23,'Peajes Actuales'!$B$16:$J$21,7,FALSE)</f>
        <v>44.970999999999997</v>
      </c>
      <c r="N23" s="90">
        <f>VLOOKUP(E23,'Peajes Actuales'!$B$16:$J$21,9,FALSE)</f>
        <v>1.2490000000000001</v>
      </c>
      <c r="O23" s="123">
        <f t="shared" si="37"/>
        <v>52182.304593070105</v>
      </c>
      <c r="P23" s="123">
        <f t="shared" si="38"/>
        <v>37470</v>
      </c>
      <c r="Q23" s="122">
        <f t="shared" si="39"/>
        <v>89652.304593070105</v>
      </c>
      <c r="R23" s="124">
        <f t="shared" si="40"/>
        <v>128476.7042707494</v>
      </c>
      <c r="S23" s="79">
        <f t="shared" si="41"/>
        <v>4.2825568090249799</v>
      </c>
      <c r="U23" s="76" t="str">
        <f>IF(B23&gt;'Peajes Circular CNMC'!$C$23,'Peajes Circular CNMC'!$B$23,IF(B23&gt;'Peajes Circular CNMC'!$C$22,'Peajes Circular CNMC'!$B$22,IF(B23&gt;'Peajes Circular CNMC'!$C$21,'Peajes Circular CNMC'!$B$21,IF(B23&gt;'Peajes Circular CNMC'!$C$20,'Peajes Circular CNMC'!$B$20,IF(B23&gt;'Peajes Circular CNMC'!$C$19,'Peajes Circular CNMC'!$B$19,IF(B23&gt;'Peajes Circular CNMC'!$C$18,'Peajes Circular CNMC'!$B$18,IF(B23&gt;'Peajes Circular CNMC'!$C$17,'Peajes Circular CNMC'!$B$17,IF(B23&gt;'Peajes Circular CNMC'!$C$16,'Peajes Circular CNMC'!$B$16,IF(B23&gt;'Peajes Circular CNMC'!$C$15,'Peajes Circular CNMC'!$B$15,IF(B23&gt;'Peajes Circular CNMC'!$C$14,'Peajes Circular CNMC'!$B$14,'Peajes Circular CNMC'!$B$13))))))))))</f>
        <v>D.8</v>
      </c>
      <c r="V23" s="96">
        <f>'Peajes Circular CNMC'!$H$30</f>
        <v>29.867609999999999</v>
      </c>
      <c r="W23" s="88">
        <f>'Peajes Circular CNMC'!$I$30</f>
        <v>0.15190999999999999</v>
      </c>
      <c r="X23" s="123">
        <f t="shared" si="0"/>
        <v>34657.017244157934</v>
      </c>
      <c r="Y23" s="123">
        <f t="shared" si="1"/>
        <v>4557.2999999999993</v>
      </c>
      <c r="Z23" s="122">
        <f t="shared" si="25"/>
        <v>39214.317244157937</v>
      </c>
      <c r="AA23" s="88">
        <f>'Peajes Circular CNMC'!$H$35</f>
        <v>0.26106499999999999</v>
      </c>
      <c r="AB23" s="122">
        <f t="shared" si="26"/>
        <v>7831.95</v>
      </c>
      <c r="AC23" s="97">
        <f>'Peajes Circular CNMC'!$J$6</f>
        <v>20.326666666666664</v>
      </c>
      <c r="AD23" s="97">
        <f>'Peajes Circular CNMC'!$J$7</f>
        <v>2.2599999999999999E-2</v>
      </c>
      <c r="AE23" s="123">
        <f t="shared" si="2"/>
        <v>23586.140209508456</v>
      </c>
      <c r="AF23" s="123">
        <f t="shared" si="3"/>
        <v>678</v>
      </c>
      <c r="AG23" s="122">
        <f t="shared" si="27"/>
        <v>24264.140209508456</v>
      </c>
      <c r="AH23" s="97">
        <f>'Peajes Circular CNMC'!$K$6</f>
        <v>12.351666666666667</v>
      </c>
      <c r="AI23" s="97">
        <f>'Peajes Circular CNMC'!$K$7</f>
        <v>2.2599999999999999E-2</v>
      </c>
      <c r="AJ23" s="123">
        <f t="shared" si="4"/>
        <v>14332.312651087832</v>
      </c>
      <c r="AK23" s="123">
        <f t="shared" si="5"/>
        <v>678</v>
      </c>
      <c r="AL23" s="122">
        <f t="shared" si="28"/>
        <v>15010.312651087832</v>
      </c>
      <c r="AM23" s="98">
        <f>VLOOKUP(U23,'Peajes Circular CNMC'!$B$13:$J$23,7,FALSE)</f>
        <v>42.213333333333331</v>
      </c>
      <c r="AN23" s="87">
        <f>VLOOKUP(U23,'Peajes Circular CNMC'!$B$13:$J$23,8,FALSE)</f>
        <v>0</v>
      </c>
      <c r="AO23" s="87">
        <f>VLOOKUP(U23,'Peajes Circular CNMC'!$B$13:$J$23,9,FALSE)</f>
        <v>0.70599999999999996</v>
      </c>
      <c r="AP23" s="123">
        <f t="shared" si="6"/>
        <v>48982.433521353742</v>
      </c>
      <c r="AQ23" s="123">
        <f t="shared" si="29"/>
        <v>0</v>
      </c>
      <c r="AR23" s="123">
        <f t="shared" si="7"/>
        <v>21180</v>
      </c>
      <c r="AS23" s="122">
        <f t="shared" si="30"/>
        <v>70162.433521353742</v>
      </c>
      <c r="AT23" s="124">
        <f t="shared" si="31"/>
        <v>156483.15362610796</v>
      </c>
      <c r="AU23" s="79">
        <f t="shared" si="8"/>
        <v>5.2161051208702656</v>
      </c>
      <c r="AW23" s="75">
        <f t="shared" si="9"/>
        <v>0.49462615126062803</v>
      </c>
      <c r="AX23" s="100">
        <f t="shared" si="10"/>
        <v>0.9276337420108155</v>
      </c>
      <c r="AY23" s="100">
        <f t="shared" si="11"/>
        <v>-4.9965903731768499E-2</v>
      </c>
      <c r="AZ23" s="125">
        <f t="shared" si="12"/>
        <v>28006.449355358563</v>
      </c>
      <c r="BA23" s="100">
        <f t="shared" si="13"/>
        <v>0.21798854130269638</v>
      </c>
      <c r="BB23" s="192">
        <f t="shared" si="14"/>
        <v>0.93354831184528564</v>
      </c>
    </row>
    <row r="24" spans="2:54">
      <c r="B24" s="105">
        <v>35000</v>
      </c>
      <c r="C24" s="112">
        <f>IF($C$5&lt;&gt;"Memoria CNMC",$C$5,IF(B24&gt;'Tipología Clientes'!$C$16,'Tipología Clientes'!$L$16,IF(B24&gt;'Tipología Clientes'!$C$15,'Tipología Clientes'!$L$15,IF(B24&gt;'Tipología Clientes'!$C$14,'Tipología Clientes'!$L$14,IF(B24&gt;'Tipología Clientes'!$C$13,'Tipología Clientes'!$L$13,IF(B24&gt;'Tipología Clientes'!$C$12,'Tipología Clientes'!$L$12,IF(B24&gt;'Tipología Clientes'!$C$11,'Tipología Clientes'!$L$11,IF(B24&gt;'Tipología Clientes'!$C$10,'Tipología Clientes'!$L$10,IF(B24&gt;'Tipología Clientes'!$C$9,'Tipología Clientes'!$L$9,IF(B24&gt;'Tipología Clientes'!$C$8,'Tipología Clientes'!$L$8,IF(B24&gt;'Tipología Clientes'!$C$7,'Tipología Clientes'!$L$7,'Tipología Clientes'!$L$6)))))))))))</f>
        <v>0.85</v>
      </c>
      <c r="D24" s="113">
        <f t="shared" si="32"/>
        <v>112.81224818694602</v>
      </c>
      <c r="E24" s="76" t="str">
        <f>IF(B24&gt;'Peajes Actuales'!$C$21,'Peajes Actuales'!$B$21,IF(B24&gt;'Peajes Actuales'!$C$20,'Peajes Actuales'!$B$20,IF(B24&gt;'Peajes Actuales'!$C$19,'Peajes Actuales'!$B$19,IF(B24&gt;'Peajes Actuales'!$C$18,'Peajes Actuales'!$B$18,IF(B24&gt;'Peajes Actuales'!$C$17,'Peajes Actuales'!$B$17,'Peajes Actuales'!$B$16)))))</f>
        <v>2.4</v>
      </c>
      <c r="F24" s="88">
        <f>'Peajes Actuales'!$H$29</f>
        <v>19.612000000000002</v>
      </c>
      <c r="G24" s="88">
        <f>'Peajes Actuales'!$I$29</f>
        <v>0.11599999999999999</v>
      </c>
      <c r="H24" s="123">
        <f t="shared" si="33"/>
        <v>26549.685737308631</v>
      </c>
      <c r="I24" s="123">
        <f t="shared" si="34"/>
        <v>4059.9999999999995</v>
      </c>
      <c r="J24" s="122">
        <f t="shared" si="35"/>
        <v>30609.685737308631</v>
      </c>
      <c r="K24" s="89">
        <f>'Peajes Actuales'!$I$5</f>
        <v>10.848000000000001</v>
      </c>
      <c r="L24" s="122">
        <f t="shared" si="36"/>
        <v>14685.447219983887</v>
      </c>
      <c r="M24" s="90">
        <f>VLOOKUP(E24,'Peajes Actuales'!$B$16:$J$21,7,FALSE)</f>
        <v>41.21</v>
      </c>
      <c r="N24" s="90">
        <f>VLOOKUP(E24,'Peajes Actuales'!$B$16:$J$21,9,FALSE)</f>
        <v>1.121</v>
      </c>
      <c r="O24" s="123">
        <f t="shared" si="37"/>
        <v>55787.912973408544</v>
      </c>
      <c r="P24" s="123">
        <f t="shared" si="38"/>
        <v>39235</v>
      </c>
      <c r="Q24" s="122">
        <f t="shared" si="39"/>
        <v>95022.912973408544</v>
      </c>
      <c r="R24" s="124">
        <f t="shared" si="40"/>
        <v>140318.04593070108</v>
      </c>
      <c r="S24" s="79">
        <f t="shared" si="41"/>
        <v>4.0090870265914589</v>
      </c>
      <c r="U24" s="76" t="str">
        <f>IF(B24&gt;'Peajes Circular CNMC'!$C$23,'Peajes Circular CNMC'!$B$23,IF(B24&gt;'Peajes Circular CNMC'!$C$22,'Peajes Circular CNMC'!$B$22,IF(B24&gt;'Peajes Circular CNMC'!$C$21,'Peajes Circular CNMC'!$B$21,IF(B24&gt;'Peajes Circular CNMC'!$C$20,'Peajes Circular CNMC'!$B$20,IF(B24&gt;'Peajes Circular CNMC'!$C$19,'Peajes Circular CNMC'!$B$19,IF(B24&gt;'Peajes Circular CNMC'!$C$18,'Peajes Circular CNMC'!$B$18,IF(B24&gt;'Peajes Circular CNMC'!$C$17,'Peajes Circular CNMC'!$B$17,IF(B24&gt;'Peajes Circular CNMC'!$C$16,'Peajes Circular CNMC'!$B$16,IF(B24&gt;'Peajes Circular CNMC'!$C$15,'Peajes Circular CNMC'!$B$15,IF(B24&gt;'Peajes Circular CNMC'!$C$14,'Peajes Circular CNMC'!$B$14,'Peajes Circular CNMC'!$B$13))))))))))</f>
        <v>D.8</v>
      </c>
      <c r="V24" s="96">
        <f>'Peajes Circular CNMC'!$H$30</f>
        <v>29.867609999999999</v>
      </c>
      <c r="W24" s="88">
        <f>'Peajes Circular CNMC'!$I$30</f>
        <v>0.15190999999999999</v>
      </c>
      <c r="X24" s="123">
        <f t="shared" si="0"/>
        <v>40433.186784850928</v>
      </c>
      <c r="Y24" s="123">
        <f t="shared" si="1"/>
        <v>5316.8499999999995</v>
      </c>
      <c r="Z24" s="122">
        <f t="shared" si="25"/>
        <v>45750.036784850927</v>
      </c>
      <c r="AA24" s="88">
        <f>'Peajes Circular CNMC'!$H$35</f>
        <v>0.26106499999999999</v>
      </c>
      <c r="AB24" s="122">
        <f t="shared" si="26"/>
        <v>9137.2749999999996</v>
      </c>
      <c r="AC24" s="97">
        <f>'Peajes Circular CNMC'!$J$6</f>
        <v>20.326666666666664</v>
      </c>
      <c r="AD24" s="97">
        <f>'Peajes Circular CNMC'!$J$7</f>
        <v>2.2599999999999999E-2</v>
      </c>
      <c r="AE24" s="123">
        <f t="shared" si="2"/>
        <v>27517.163577759868</v>
      </c>
      <c r="AF24" s="123">
        <f t="shared" si="3"/>
        <v>791</v>
      </c>
      <c r="AG24" s="122">
        <f t="shared" si="27"/>
        <v>28308.163577759868</v>
      </c>
      <c r="AH24" s="97">
        <f>'Peajes Circular CNMC'!$K$6</f>
        <v>12.351666666666667</v>
      </c>
      <c r="AI24" s="97">
        <f>'Peajes Circular CNMC'!$K$7</f>
        <v>2.2599999999999999E-2</v>
      </c>
      <c r="AJ24" s="123">
        <f t="shared" si="4"/>
        <v>16721.031426269139</v>
      </c>
      <c r="AK24" s="123">
        <f t="shared" si="5"/>
        <v>791</v>
      </c>
      <c r="AL24" s="122">
        <f t="shared" si="28"/>
        <v>17512.031426269139</v>
      </c>
      <c r="AM24" s="98">
        <f>VLOOKUP(U24,'Peajes Circular CNMC'!$B$13:$J$23,7,FALSE)</f>
        <v>42.213333333333331</v>
      </c>
      <c r="AN24" s="87">
        <f>VLOOKUP(U24,'Peajes Circular CNMC'!$B$13:$J$23,8,FALSE)</f>
        <v>0</v>
      </c>
      <c r="AO24" s="87">
        <f>VLOOKUP(U24,'Peajes Circular CNMC'!$B$13:$J$23,9,FALSE)</f>
        <v>0.70599999999999996</v>
      </c>
      <c r="AP24" s="123">
        <f t="shared" si="6"/>
        <v>57146.172441579372</v>
      </c>
      <c r="AQ24" s="123">
        <f t="shared" si="29"/>
        <v>0</v>
      </c>
      <c r="AR24" s="123">
        <f t="shared" si="7"/>
        <v>24710</v>
      </c>
      <c r="AS24" s="122">
        <f t="shared" si="30"/>
        <v>81856.172441579372</v>
      </c>
      <c r="AT24" s="124">
        <f t="shared" si="31"/>
        <v>182563.67923045933</v>
      </c>
      <c r="AU24" s="79">
        <f t="shared" si="8"/>
        <v>5.2161051208702665</v>
      </c>
      <c r="AW24" s="75">
        <f t="shared" si="9"/>
        <v>0.49462615126062764</v>
      </c>
      <c r="AX24" s="100">
        <f t="shared" si="10"/>
        <v>0.92763374201081539</v>
      </c>
      <c r="AY24" s="100">
        <f t="shared" si="11"/>
        <v>4.5728874841544427E-2</v>
      </c>
      <c r="AZ24" s="125">
        <f t="shared" si="12"/>
        <v>42245.63329975825</v>
      </c>
      <c r="BA24" s="100">
        <f t="shared" si="13"/>
        <v>0.30107056451329228</v>
      </c>
      <c r="BB24" s="192">
        <f t="shared" si="14"/>
        <v>1.2070180942788076</v>
      </c>
    </row>
    <row r="25" spans="2:54">
      <c r="B25" s="105">
        <v>40000</v>
      </c>
      <c r="C25" s="112">
        <f>IF($C$5&lt;&gt;"Memoria CNMC",$C$5,IF(B25&gt;'Tipología Clientes'!$C$16,'Tipología Clientes'!$L$16,IF(B25&gt;'Tipología Clientes'!$C$15,'Tipología Clientes'!$L$15,IF(B25&gt;'Tipología Clientes'!$C$14,'Tipología Clientes'!$L$14,IF(B25&gt;'Tipología Clientes'!$C$13,'Tipología Clientes'!$L$13,IF(B25&gt;'Tipología Clientes'!$C$12,'Tipología Clientes'!$L$12,IF(B25&gt;'Tipología Clientes'!$C$11,'Tipología Clientes'!$L$11,IF(B25&gt;'Tipología Clientes'!$C$10,'Tipología Clientes'!$L$10,IF(B25&gt;'Tipología Clientes'!$C$9,'Tipología Clientes'!$L$9,IF(B25&gt;'Tipología Clientes'!$C$8,'Tipología Clientes'!$L$8,IF(B25&gt;'Tipología Clientes'!$C$7,'Tipología Clientes'!$L$7,'Tipología Clientes'!$L$6)))))))))))</f>
        <v>0.85</v>
      </c>
      <c r="D25" s="113">
        <f t="shared" si="32"/>
        <v>128.92828364222402</v>
      </c>
      <c r="E25" s="76" t="str">
        <f>IF(B25&gt;'Peajes Actuales'!$C$21,'Peajes Actuales'!$B$21,IF(B25&gt;'Peajes Actuales'!$C$20,'Peajes Actuales'!$B$20,IF(B25&gt;'Peajes Actuales'!$C$19,'Peajes Actuales'!$B$19,IF(B25&gt;'Peajes Actuales'!$C$18,'Peajes Actuales'!$B$18,IF(B25&gt;'Peajes Actuales'!$C$17,'Peajes Actuales'!$B$17,'Peajes Actuales'!$B$16)))))</f>
        <v>2.4</v>
      </c>
      <c r="F25" s="88">
        <f>'Peajes Actuales'!$H$29</f>
        <v>19.612000000000002</v>
      </c>
      <c r="G25" s="88">
        <f>'Peajes Actuales'!$I$29</f>
        <v>0.11599999999999999</v>
      </c>
      <c r="H25" s="123">
        <f t="shared" si="33"/>
        <v>30342.497985495575</v>
      </c>
      <c r="I25" s="123">
        <f t="shared" si="34"/>
        <v>4640</v>
      </c>
      <c r="J25" s="122">
        <f t="shared" si="35"/>
        <v>34982.497985495575</v>
      </c>
      <c r="K25" s="89">
        <f>'Peajes Actuales'!$I$5</f>
        <v>10.848000000000001</v>
      </c>
      <c r="L25" s="122">
        <f t="shared" si="36"/>
        <v>16783.368251410157</v>
      </c>
      <c r="M25" s="90">
        <f>VLOOKUP(E25,'Peajes Actuales'!$B$16:$J$21,7,FALSE)</f>
        <v>41.21</v>
      </c>
      <c r="N25" s="90">
        <f>VLOOKUP(E25,'Peajes Actuales'!$B$16:$J$21,9,FALSE)</f>
        <v>1.121</v>
      </c>
      <c r="O25" s="123">
        <f t="shared" si="37"/>
        <v>63757.614826752622</v>
      </c>
      <c r="P25" s="123">
        <f t="shared" si="38"/>
        <v>44840</v>
      </c>
      <c r="Q25" s="122">
        <f t="shared" si="39"/>
        <v>108597.61482675263</v>
      </c>
      <c r="R25" s="124">
        <f t="shared" si="40"/>
        <v>160363.48106365837</v>
      </c>
      <c r="S25" s="79">
        <f t="shared" si="41"/>
        <v>4.0090870265914589</v>
      </c>
      <c r="U25" s="76" t="str">
        <f>IF(B25&gt;'Peajes Circular CNMC'!$C$23,'Peajes Circular CNMC'!$B$23,IF(B25&gt;'Peajes Circular CNMC'!$C$22,'Peajes Circular CNMC'!$B$22,IF(B25&gt;'Peajes Circular CNMC'!$C$21,'Peajes Circular CNMC'!$B$21,IF(B25&gt;'Peajes Circular CNMC'!$C$20,'Peajes Circular CNMC'!$B$20,IF(B25&gt;'Peajes Circular CNMC'!$C$19,'Peajes Circular CNMC'!$B$19,IF(B25&gt;'Peajes Circular CNMC'!$C$18,'Peajes Circular CNMC'!$B$18,IF(B25&gt;'Peajes Circular CNMC'!$C$17,'Peajes Circular CNMC'!$B$17,IF(B25&gt;'Peajes Circular CNMC'!$C$16,'Peajes Circular CNMC'!$B$16,IF(B25&gt;'Peajes Circular CNMC'!$C$15,'Peajes Circular CNMC'!$B$15,IF(B25&gt;'Peajes Circular CNMC'!$C$14,'Peajes Circular CNMC'!$B$14,'Peajes Circular CNMC'!$B$13))))))))))</f>
        <v>D.8</v>
      </c>
      <c r="V25" s="96">
        <f>'Peajes Circular CNMC'!$H$30</f>
        <v>29.867609999999999</v>
      </c>
      <c r="W25" s="88">
        <f>'Peajes Circular CNMC'!$I$30</f>
        <v>0.15190999999999999</v>
      </c>
      <c r="X25" s="123">
        <f t="shared" si="0"/>
        <v>46209.356325543915</v>
      </c>
      <c r="Y25" s="123">
        <f t="shared" si="1"/>
        <v>6076.4</v>
      </c>
      <c r="Z25" s="122">
        <f t="shared" si="25"/>
        <v>52285.756325543916</v>
      </c>
      <c r="AA25" s="88">
        <f>'Peajes Circular CNMC'!$H$35</f>
        <v>0.26106499999999999</v>
      </c>
      <c r="AB25" s="122">
        <f t="shared" si="26"/>
        <v>10442.6</v>
      </c>
      <c r="AC25" s="97">
        <f>'Peajes Circular CNMC'!$J$6</f>
        <v>20.326666666666664</v>
      </c>
      <c r="AD25" s="97">
        <f>'Peajes Circular CNMC'!$J$7</f>
        <v>2.2599999999999999E-2</v>
      </c>
      <c r="AE25" s="123">
        <f t="shared" si="2"/>
        <v>31448.186946011276</v>
      </c>
      <c r="AF25" s="123">
        <f t="shared" si="3"/>
        <v>903.99999999999989</v>
      </c>
      <c r="AG25" s="122">
        <f t="shared" si="27"/>
        <v>32352.186946011276</v>
      </c>
      <c r="AH25" s="97">
        <f>'Peajes Circular CNMC'!$K$6</f>
        <v>12.351666666666667</v>
      </c>
      <c r="AI25" s="97">
        <f>'Peajes Circular CNMC'!$K$7</f>
        <v>2.2599999999999999E-2</v>
      </c>
      <c r="AJ25" s="123">
        <f t="shared" si="4"/>
        <v>19109.750201450443</v>
      </c>
      <c r="AK25" s="123">
        <f t="shared" si="5"/>
        <v>903.99999999999989</v>
      </c>
      <c r="AL25" s="122">
        <f t="shared" si="28"/>
        <v>20013.750201450443</v>
      </c>
      <c r="AM25" s="98">
        <f>VLOOKUP(U25,'Peajes Circular CNMC'!$B$13:$J$23,7,FALSE)</f>
        <v>42.213333333333331</v>
      </c>
      <c r="AN25" s="87">
        <f>VLOOKUP(U25,'Peajes Circular CNMC'!$B$13:$J$23,8,FALSE)</f>
        <v>0</v>
      </c>
      <c r="AO25" s="87">
        <f>VLOOKUP(U25,'Peajes Circular CNMC'!$B$13:$J$23,9,FALSE)</f>
        <v>0.70599999999999996</v>
      </c>
      <c r="AP25" s="123">
        <f t="shared" si="6"/>
        <v>65309.911361804989</v>
      </c>
      <c r="AQ25" s="123">
        <f t="shared" si="29"/>
        <v>0</v>
      </c>
      <c r="AR25" s="123">
        <f t="shared" si="7"/>
        <v>28240</v>
      </c>
      <c r="AS25" s="122">
        <f t="shared" si="30"/>
        <v>93549.911361804989</v>
      </c>
      <c r="AT25" s="124">
        <f t="shared" si="31"/>
        <v>208644.20483481063</v>
      </c>
      <c r="AU25" s="79">
        <f t="shared" si="8"/>
        <v>5.2161051208702656</v>
      </c>
      <c r="AW25" s="75">
        <f t="shared" si="9"/>
        <v>0.49462615126062781</v>
      </c>
      <c r="AX25" s="100">
        <f t="shared" si="10"/>
        <v>0.92763374201081539</v>
      </c>
      <c r="AY25" s="100">
        <f t="shared" si="11"/>
        <v>4.5728874841544254E-2</v>
      </c>
      <c r="AZ25" s="125">
        <f t="shared" si="12"/>
        <v>48280.723771152261</v>
      </c>
      <c r="BA25" s="100">
        <f t="shared" si="13"/>
        <v>0.30107056451329217</v>
      </c>
      <c r="BB25" s="192">
        <f t="shared" si="14"/>
        <v>1.2070180942788067</v>
      </c>
    </row>
    <row r="26" spans="2:54">
      <c r="B26" s="105">
        <v>50000</v>
      </c>
      <c r="C26" s="112">
        <f>IF($C$5&lt;&gt;"Memoria CNMC",$C$5,IF(B26&gt;'Tipología Clientes'!$C$16,'Tipología Clientes'!$L$16,IF(B26&gt;'Tipología Clientes'!$C$15,'Tipología Clientes'!$L$15,IF(B26&gt;'Tipología Clientes'!$C$14,'Tipología Clientes'!$L$14,IF(B26&gt;'Tipología Clientes'!$C$13,'Tipología Clientes'!$L$13,IF(B26&gt;'Tipología Clientes'!$C$12,'Tipología Clientes'!$L$12,IF(B26&gt;'Tipología Clientes'!$C$11,'Tipología Clientes'!$L$11,IF(B26&gt;'Tipología Clientes'!$C$10,'Tipología Clientes'!$L$10,IF(B26&gt;'Tipología Clientes'!$C$9,'Tipología Clientes'!$L$9,IF(B26&gt;'Tipología Clientes'!$C$8,'Tipología Clientes'!$L$8,IF(B26&gt;'Tipología Clientes'!$C$7,'Tipología Clientes'!$L$7,'Tipología Clientes'!$L$6)))))))))))</f>
        <v>0.85</v>
      </c>
      <c r="D26" s="113">
        <f t="shared" si="32"/>
        <v>161.16035455278003</v>
      </c>
      <c r="E26" s="76" t="str">
        <f>IF(B26&gt;'Peajes Actuales'!$C$21,'Peajes Actuales'!$B$21,IF(B26&gt;'Peajes Actuales'!$C$20,'Peajes Actuales'!$B$20,IF(B26&gt;'Peajes Actuales'!$C$19,'Peajes Actuales'!$B$19,IF(B26&gt;'Peajes Actuales'!$C$18,'Peajes Actuales'!$B$18,IF(B26&gt;'Peajes Actuales'!$C$17,'Peajes Actuales'!$B$17,'Peajes Actuales'!$B$16)))))</f>
        <v>2.4</v>
      </c>
      <c r="F26" s="88">
        <f>'Peajes Actuales'!$H$29</f>
        <v>19.612000000000002</v>
      </c>
      <c r="G26" s="88">
        <f>'Peajes Actuales'!$I$29</f>
        <v>0.11599999999999999</v>
      </c>
      <c r="H26" s="123">
        <f t="shared" si="33"/>
        <v>37928.122481869468</v>
      </c>
      <c r="I26" s="123">
        <f t="shared" si="34"/>
        <v>5800</v>
      </c>
      <c r="J26" s="122">
        <f t="shared" si="35"/>
        <v>43728.122481869468</v>
      </c>
      <c r="K26" s="89">
        <f>'Peajes Actuales'!$I$5</f>
        <v>10.848000000000001</v>
      </c>
      <c r="L26" s="122">
        <f t="shared" si="36"/>
        <v>20979.210314262695</v>
      </c>
      <c r="M26" s="90">
        <f>VLOOKUP(E26,'Peajes Actuales'!$B$16:$J$21,7,FALSE)</f>
        <v>41.21</v>
      </c>
      <c r="N26" s="90">
        <f>VLOOKUP(E26,'Peajes Actuales'!$B$16:$J$21,9,FALSE)</f>
        <v>1.121</v>
      </c>
      <c r="O26" s="123">
        <f t="shared" si="37"/>
        <v>79697.018533440787</v>
      </c>
      <c r="P26" s="123">
        <f t="shared" si="38"/>
        <v>56050</v>
      </c>
      <c r="Q26" s="122">
        <f t="shared" si="39"/>
        <v>135747.01853344077</v>
      </c>
      <c r="R26" s="124">
        <f t="shared" si="40"/>
        <v>200454.35132957294</v>
      </c>
      <c r="S26" s="79">
        <f t="shared" si="41"/>
        <v>4.0090870265914589</v>
      </c>
      <c r="U26" s="76" t="str">
        <f>IF(B26&gt;'Peajes Circular CNMC'!$C$23,'Peajes Circular CNMC'!$B$23,IF(B26&gt;'Peajes Circular CNMC'!$C$22,'Peajes Circular CNMC'!$B$22,IF(B26&gt;'Peajes Circular CNMC'!$C$21,'Peajes Circular CNMC'!$B$21,IF(B26&gt;'Peajes Circular CNMC'!$C$20,'Peajes Circular CNMC'!$B$20,IF(B26&gt;'Peajes Circular CNMC'!$C$19,'Peajes Circular CNMC'!$B$19,IF(B26&gt;'Peajes Circular CNMC'!$C$18,'Peajes Circular CNMC'!$B$18,IF(B26&gt;'Peajes Circular CNMC'!$C$17,'Peajes Circular CNMC'!$B$17,IF(B26&gt;'Peajes Circular CNMC'!$C$16,'Peajes Circular CNMC'!$B$16,IF(B26&gt;'Peajes Circular CNMC'!$C$15,'Peajes Circular CNMC'!$B$15,IF(B26&gt;'Peajes Circular CNMC'!$C$14,'Peajes Circular CNMC'!$B$14,'Peajes Circular CNMC'!$B$13))))))))))</f>
        <v>D.8</v>
      </c>
      <c r="V26" s="96">
        <f>'Peajes Circular CNMC'!$H$30</f>
        <v>29.867609999999999</v>
      </c>
      <c r="W26" s="88">
        <f>'Peajes Circular CNMC'!$I$30</f>
        <v>0.15190999999999999</v>
      </c>
      <c r="X26" s="123">
        <f t="shared" si="0"/>
        <v>57761.695406929903</v>
      </c>
      <c r="Y26" s="123">
        <f t="shared" si="1"/>
        <v>7595.4999999999991</v>
      </c>
      <c r="Z26" s="122">
        <f t="shared" si="25"/>
        <v>65357.195406929903</v>
      </c>
      <c r="AA26" s="88">
        <f>'Peajes Circular CNMC'!$H$35</f>
        <v>0.26106499999999999</v>
      </c>
      <c r="AB26" s="122">
        <f t="shared" si="26"/>
        <v>13053.25</v>
      </c>
      <c r="AC26" s="97">
        <f>'Peajes Circular CNMC'!$J$6</f>
        <v>20.326666666666664</v>
      </c>
      <c r="AD26" s="97">
        <f>'Peajes Circular CNMC'!$J$7</f>
        <v>2.2599999999999999E-2</v>
      </c>
      <c r="AE26" s="123">
        <f t="shared" si="2"/>
        <v>39310.233682514103</v>
      </c>
      <c r="AF26" s="123">
        <f t="shared" si="3"/>
        <v>1130</v>
      </c>
      <c r="AG26" s="122">
        <f t="shared" si="27"/>
        <v>40440.233682514103</v>
      </c>
      <c r="AH26" s="97">
        <f>'Peajes Circular CNMC'!$K$6</f>
        <v>12.351666666666667</v>
      </c>
      <c r="AI26" s="97">
        <f>'Peajes Circular CNMC'!$K$7</f>
        <v>2.2599999999999999E-2</v>
      </c>
      <c r="AJ26" s="123">
        <f t="shared" si="4"/>
        <v>23887.187751813057</v>
      </c>
      <c r="AK26" s="123">
        <f t="shared" si="5"/>
        <v>1130</v>
      </c>
      <c r="AL26" s="122">
        <f t="shared" si="28"/>
        <v>25017.187751813057</v>
      </c>
      <c r="AM26" s="98">
        <f>VLOOKUP(U26,'Peajes Circular CNMC'!$B$13:$J$23,7,FALSE)</f>
        <v>42.213333333333331</v>
      </c>
      <c r="AN26" s="87">
        <f>VLOOKUP(U26,'Peajes Circular CNMC'!$B$13:$J$23,8,FALSE)</f>
        <v>0</v>
      </c>
      <c r="AO26" s="87">
        <f>VLOOKUP(U26,'Peajes Circular CNMC'!$B$13:$J$23,9,FALSE)</f>
        <v>0.70599999999999996</v>
      </c>
      <c r="AP26" s="123">
        <f t="shared" si="6"/>
        <v>81637.38920225625</v>
      </c>
      <c r="AQ26" s="123">
        <f t="shared" si="29"/>
        <v>0</v>
      </c>
      <c r="AR26" s="123">
        <f t="shared" si="7"/>
        <v>35300</v>
      </c>
      <c r="AS26" s="122">
        <f t="shared" si="30"/>
        <v>116937.38920225625</v>
      </c>
      <c r="AT26" s="124">
        <f t="shared" si="31"/>
        <v>260805.25604351333</v>
      </c>
      <c r="AU26" s="79">
        <f t="shared" si="8"/>
        <v>5.2161051208702665</v>
      </c>
      <c r="AW26" s="75">
        <f t="shared" si="9"/>
        <v>0.49462615126062798</v>
      </c>
      <c r="AX26" s="100">
        <f t="shared" si="10"/>
        <v>0.92763374201081583</v>
      </c>
      <c r="AY26" s="100">
        <f t="shared" si="11"/>
        <v>4.5728874841544552E-2</v>
      </c>
      <c r="AZ26" s="125">
        <f t="shared" si="12"/>
        <v>60350.904713940399</v>
      </c>
      <c r="BA26" s="100">
        <f t="shared" si="13"/>
        <v>0.30107056451329256</v>
      </c>
      <c r="BB26" s="192">
        <f t="shared" si="14"/>
        <v>1.2070180942788076</v>
      </c>
    </row>
    <row r="27" spans="2:54">
      <c r="B27" s="105">
        <v>75000</v>
      </c>
      <c r="C27" s="112">
        <f>IF($C$5&lt;&gt;"Memoria CNMC",$C$5,IF(B27&gt;'Tipología Clientes'!$C$16,'Tipología Clientes'!$L$16,IF(B27&gt;'Tipología Clientes'!$C$15,'Tipología Clientes'!$L$15,IF(B27&gt;'Tipología Clientes'!$C$14,'Tipología Clientes'!$L$14,IF(B27&gt;'Tipología Clientes'!$C$13,'Tipología Clientes'!$L$13,IF(B27&gt;'Tipología Clientes'!$C$12,'Tipología Clientes'!$L$12,IF(B27&gt;'Tipología Clientes'!$C$11,'Tipología Clientes'!$L$11,IF(B27&gt;'Tipología Clientes'!$C$10,'Tipología Clientes'!$L$10,IF(B27&gt;'Tipología Clientes'!$C$9,'Tipología Clientes'!$L$9,IF(B27&gt;'Tipología Clientes'!$C$8,'Tipología Clientes'!$L$8,IF(B27&gt;'Tipología Clientes'!$C$7,'Tipología Clientes'!$L$7,'Tipología Clientes'!$L$6)))))))))))</f>
        <v>0.85</v>
      </c>
      <c r="D27" s="113">
        <f t="shared" si="32"/>
        <v>241.74053182917001</v>
      </c>
      <c r="E27" s="76" t="str">
        <f>IF(B27&gt;'Peajes Actuales'!$C$21,'Peajes Actuales'!$B$21,IF(B27&gt;'Peajes Actuales'!$C$20,'Peajes Actuales'!$B$20,IF(B27&gt;'Peajes Actuales'!$C$19,'Peajes Actuales'!$B$19,IF(B27&gt;'Peajes Actuales'!$C$18,'Peajes Actuales'!$B$18,IF(B27&gt;'Peajes Actuales'!$C$17,'Peajes Actuales'!$B$17,'Peajes Actuales'!$B$16)))))</f>
        <v>2.4</v>
      </c>
      <c r="F27" s="88">
        <f>'Peajes Actuales'!$H$29</f>
        <v>19.612000000000002</v>
      </c>
      <c r="G27" s="88">
        <f>'Peajes Actuales'!$I$29</f>
        <v>0.11599999999999999</v>
      </c>
      <c r="H27" s="123">
        <f t="shared" si="33"/>
        <v>56892.183722804191</v>
      </c>
      <c r="I27" s="123">
        <f t="shared" si="34"/>
        <v>8700</v>
      </c>
      <c r="J27" s="122">
        <f t="shared" si="35"/>
        <v>65592.183722804184</v>
      </c>
      <c r="K27" s="89">
        <f>'Peajes Actuales'!$I$5</f>
        <v>10.848000000000001</v>
      </c>
      <c r="L27" s="122">
        <f t="shared" si="36"/>
        <v>31468.815471394038</v>
      </c>
      <c r="M27" s="90">
        <f>VLOOKUP(E27,'Peajes Actuales'!$B$16:$J$21,7,FALSE)</f>
        <v>41.21</v>
      </c>
      <c r="N27" s="90">
        <f>VLOOKUP(E27,'Peajes Actuales'!$B$16:$J$21,9,FALSE)</f>
        <v>1.121</v>
      </c>
      <c r="O27" s="123">
        <f t="shared" si="37"/>
        <v>119545.52780016116</v>
      </c>
      <c r="P27" s="123">
        <f t="shared" si="38"/>
        <v>84075</v>
      </c>
      <c r="Q27" s="122">
        <f t="shared" si="39"/>
        <v>203620.52780016116</v>
      </c>
      <c r="R27" s="124">
        <f t="shared" si="40"/>
        <v>300681.52699435939</v>
      </c>
      <c r="S27" s="79">
        <f t="shared" si="41"/>
        <v>4.0090870265914589</v>
      </c>
      <c r="U27" s="76" t="str">
        <f>IF(B27&gt;'Peajes Circular CNMC'!$C$23,'Peajes Circular CNMC'!$B$23,IF(B27&gt;'Peajes Circular CNMC'!$C$22,'Peajes Circular CNMC'!$B$22,IF(B27&gt;'Peajes Circular CNMC'!$C$21,'Peajes Circular CNMC'!$B$21,IF(B27&gt;'Peajes Circular CNMC'!$C$20,'Peajes Circular CNMC'!$B$20,IF(B27&gt;'Peajes Circular CNMC'!$C$19,'Peajes Circular CNMC'!$B$19,IF(B27&gt;'Peajes Circular CNMC'!$C$18,'Peajes Circular CNMC'!$B$18,IF(B27&gt;'Peajes Circular CNMC'!$C$17,'Peajes Circular CNMC'!$B$17,IF(B27&gt;'Peajes Circular CNMC'!$C$16,'Peajes Circular CNMC'!$B$16,IF(B27&gt;'Peajes Circular CNMC'!$C$15,'Peajes Circular CNMC'!$B$15,IF(B27&gt;'Peajes Circular CNMC'!$C$14,'Peajes Circular CNMC'!$B$14,'Peajes Circular CNMC'!$B$13))))))))))</f>
        <v>D.9</v>
      </c>
      <c r="V27" s="96">
        <f>'Peajes Circular CNMC'!$H$30</f>
        <v>29.867609999999999</v>
      </c>
      <c r="W27" s="88">
        <f>'Peajes Circular CNMC'!$I$30</f>
        <v>0.15190999999999999</v>
      </c>
      <c r="X27" s="123">
        <f t="shared" si="0"/>
        <v>86642.543110394836</v>
      </c>
      <c r="Y27" s="123">
        <f t="shared" si="1"/>
        <v>11393.25</v>
      </c>
      <c r="Z27" s="122">
        <f t="shared" si="25"/>
        <v>98035.793110394836</v>
      </c>
      <c r="AA27" s="88">
        <f>'Peajes Circular CNMC'!$H$35</f>
        <v>0.26106499999999999</v>
      </c>
      <c r="AB27" s="122">
        <f t="shared" si="26"/>
        <v>19579.875</v>
      </c>
      <c r="AC27" s="97">
        <f>'Peajes Circular CNMC'!$J$6</f>
        <v>20.326666666666664</v>
      </c>
      <c r="AD27" s="97">
        <f>'Peajes Circular CNMC'!$J$7</f>
        <v>2.2599999999999999E-2</v>
      </c>
      <c r="AE27" s="123">
        <f t="shared" si="2"/>
        <v>58965.350523771136</v>
      </c>
      <c r="AF27" s="123">
        <f t="shared" si="3"/>
        <v>1695</v>
      </c>
      <c r="AG27" s="122">
        <f t="shared" si="27"/>
        <v>60660.350523771136</v>
      </c>
      <c r="AH27" s="97">
        <f>'Peajes Circular CNMC'!$K$6</f>
        <v>12.351666666666667</v>
      </c>
      <c r="AI27" s="97">
        <f>'Peajes Circular CNMC'!$K$7</f>
        <v>2.2599999999999999E-2</v>
      </c>
      <c r="AJ27" s="123">
        <f t="shared" si="4"/>
        <v>35830.781627719582</v>
      </c>
      <c r="AK27" s="123">
        <f t="shared" si="5"/>
        <v>1695</v>
      </c>
      <c r="AL27" s="122">
        <f t="shared" si="28"/>
        <v>37525.781627719582</v>
      </c>
      <c r="AM27" s="98">
        <f>VLOOKUP(U27,'Peajes Circular CNMC'!$B$13:$J$23,7,FALSE)</f>
        <v>17.705833333333334</v>
      </c>
      <c r="AN27" s="87">
        <f>VLOOKUP(U27,'Peajes Circular CNMC'!$B$13:$J$23,8,FALSE)</f>
        <v>0</v>
      </c>
      <c r="AO27" s="87">
        <f>VLOOKUP(U27,'Peajes Circular CNMC'!$B$13:$J$23,9,FALSE)</f>
        <v>0.48</v>
      </c>
      <c r="AP27" s="123">
        <f t="shared" si="6"/>
        <v>51362.610797743757</v>
      </c>
      <c r="AQ27" s="123">
        <f t="shared" si="29"/>
        <v>0</v>
      </c>
      <c r="AR27" s="123">
        <f t="shared" si="7"/>
        <v>36000</v>
      </c>
      <c r="AS27" s="122">
        <f t="shared" si="30"/>
        <v>87362.61079774375</v>
      </c>
      <c r="AT27" s="124">
        <f t="shared" si="31"/>
        <v>303164.41105962929</v>
      </c>
      <c r="AU27" s="79">
        <f t="shared" si="8"/>
        <v>4.0421921474617237</v>
      </c>
      <c r="AW27" s="75">
        <f t="shared" si="9"/>
        <v>0.49462615126062809</v>
      </c>
      <c r="AX27" s="100">
        <f t="shared" si="10"/>
        <v>0.9276337420108155</v>
      </c>
      <c r="AY27" s="100">
        <f t="shared" si="11"/>
        <v>-0.38666109073230442</v>
      </c>
      <c r="AZ27" s="125">
        <f t="shared" si="12"/>
        <v>2482.8840652699</v>
      </c>
      <c r="BA27" s="100">
        <f t="shared" si="13"/>
        <v>8.2575211390238726E-3</v>
      </c>
      <c r="BB27" s="192">
        <f t="shared" si="14"/>
        <v>3.3105120870264848E-2</v>
      </c>
    </row>
    <row r="28" spans="2:54">
      <c r="B28" s="105">
        <v>100000</v>
      </c>
      <c r="C28" s="112">
        <f>IF($C$5&lt;&gt;"Memoria CNMC",$C$5,IF(B28&gt;'Tipología Clientes'!$C$16,'Tipología Clientes'!$L$16,IF(B28&gt;'Tipología Clientes'!$C$15,'Tipología Clientes'!$L$15,IF(B28&gt;'Tipología Clientes'!$C$14,'Tipología Clientes'!$L$14,IF(B28&gt;'Tipología Clientes'!$C$13,'Tipología Clientes'!$L$13,IF(B28&gt;'Tipología Clientes'!$C$12,'Tipología Clientes'!$L$12,IF(B28&gt;'Tipología Clientes'!$C$11,'Tipología Clientes'!$L$11,IF(B28&gt;'Tipología Clientes'!$C$10,'Tipología Clientes'!$L$10,IF(B28&gt;'Tipología Clientes'!$C$9,'Tipología Clientes'!$L$9,IF(B28&gt;'Tipología Clientes'!$C$8,'Tipología Clientes'!$L$8,IF(B28&gt;'Tipología Clientes'!$C$7,'Tipología Clientes'!$L$7,'Tipología Clientes'!$L$6)))))))))))</f>
        <v>0.85</v>
      </c>
      <c r="D28" s="113">
        <f t="shared" si="32"/>
        <v>322.32070910556007</v>
      </c>
      <c r="E28" s="76" t="str">
        <f>IF(B28&gt;'Peajes Actuales'!$C$21,'Peajes Actuales'!$B$21,IF(B28&gt;'Peajes Actuales'!$C$20,'Peajes Actuales'!$B$20,IF(B28&gt;'Peajes Actuales'!$C$19,'Peajes Actuales'!$B$19,IF(B28&gt;'Peajes Actuales'!$C$18,'Peajes Actuales'!$B$18,IF(B28&gt;'Peajes Actuales'!$C$17,'Peajes Actuales'!$B$17,'Peajes Actuales'!$B$16)))))</f>
        <v>2.4</v>
      </c>
      <c r="F28" s="88">
        <f>'Peajes Actuales'!$H$29</f>
        <v>19.612000000000002</v>
      </c>
      <c r="G28" s="88">
        <f>'Peajes Actuales'!$I$29</f>
        <v>0.11599999999999999</v>
      </c>
      <c r="H28" s="123">
        <f t="shared" si="33"/>
        <v>75856.244963738936</v>
      </c>
      <c r="I28" s="123">
        <f t="shared" si="34"/>
        <v>11600</v>
      </c>
      <c r="J28" s="122">
        <f t="shared" si="35"/>
        <v>87456.244963738936</v>
      </c>
      <c r="K28" s="89">
        <f>'Peajes Actuales'!$I$5</f>
        <v>10.848000000000001</v>
      </c>
      <c r="L28" s="122">
        <f t="shared" si="36"/>
        <v>41958.420628525389</v>
      </c>
      <c r="M28" s="90">
        <f>VLOOKUP(E28,'Peajes Actuales'!$B$16:$J$21,7,FALSE)</f>
        <v>41.21</v>
      </c>
      <c r="N28" s="90">
        <f>VLOOKUP(E28,'Peajes Actuales'!$B$16:$J$21,9,FALSE)</f>
        <v>1.121</v>
      </c>
      <c r="O28" s="123">
        <f t="shared" si="37"/>
        <v>159394.03706688157</v>
      </c>
      <c r="P28" s="123">
        <f t="shared" si="38"/>
        <v>112100</v>
      </c>
      <c r="Q28" s="122">
        <f t="shared" si="39"/>
        <v>271494.03706688154</v>
      </c>
      <c r="R28" s="124">
        <f t="shared" si="40"/>
        <v>400908.70265914587</v>
      </c>
      <c r="S28" s="79">
        <f t="shared" si="41"/>
        <v>4.0090870265914589</v>
      </c>
      <c r="U28" s="76" t="str">
        <f>IF(B28&gt;'Peajes Circular CNMC'!$C$23,'Peajes Circular CNMC'!$B$23,IF(B28&gt;'Peajes Circular CNMC'!$C$22,'Peajes Circular CNMC'!$B$22,IF(B28&gt;'Peajes Circular CNMC'!$C$21,'Peajes Circular CNMC'!$B$21,IF(B28&gt;'Peajes Circular CNMC'!$C$20,'Peajes Circular CNMC'!$B$20,IF(B28&gt;'Peajes Circular CNMC'!$C$19,'Peajes Circular CNMC'!$B$19,IF(B28&gt;'Peajes Circular CNMC'!$C$18,'Peajes Circular CNMC'!$B$18,IF(B28&gt;'Peajes Circular CNMC'!$C$17,'Peajes Circular CNMC'!$B$17,IF(B28&gt;'Peajes Circular CNMC'!$C$16,'Peajes Circular CNMC'!$B$16,IF(B28&gt;'Peajes Circular CNMC'!$C$15,'Peajes Circular CNMC'!$B$15,IF(B28&gt;'Peajes Circular CNMC'!$C$14,'Peajes Circular CNMC'!$B$14,'Peajes Circular CNMC'!$B$13))))))))))</f>
        <v>D.9</v>
      </c>
      <c r="V28" s="96">
        <f>'Peajes Circular CNMC'!$H$30</f>
        <v>29.867609999999999</v>
      </c>
      <c r="W28" s="88">
        <f>'Peajes Circular CNMC'!$I$30</f>
        <v>0.15190999999999999</v>
      </c>
      <c r="X28" s="123">
        <f t="shared" si="0"/>
        <v>115523.39081385981</v>
      </c>
      <c r="Y28" s="123">
        <f t="shared" si="1"/>
        <v>15190.999999999998</v>
      </c>
      <c r="Z28" s="122">
        <f t="shared" si="25"/>
        <v>130714.39081385981</v>
      </c>
      <c r="AA28" s="88">
        <f>'Peajes Circular CNMC'!$H$35</f>
        <v>0.26106499999999999</v>
      </c>
      <c r="AB28" s="122">
        <f>B28*AA28</f>
        <v>26106.5</v>
      </c>
      <c r="AC28" s="97">
        <f>'Peajes Circular CNMC'!$J$6</f>
        <v>20.326666666666664</v>
      </c>
      <c r="AD28" s="97">
        <f>'Peajes Circular CNMC'!$J$7</f>
        <v>2.2599999999999999E-2</v>
      </c>
      <c r="AE28" s="123">
        <f t="shared" si="2"/>
        <v>78620.467365028206</v>
      </c>
      <c r="AF28" s="123">
        <f t="shared" si="3"/>
        <v>2260</v>
      </c>
      <c r="AG28" s="122">
        <f t="shared" si="27"/>
        <v>80880.467365028206</v>
      </c>
      <c r="AH28" s="97">
        <f>'Peajes Circular CNMC'!$K$6</f>
        <v>12.351666666666667</v>
      </c>
      <c r="AI28" s="97">
        <f>'Peajes Circular CNMC'!$K$7</f>
        <v>2.2599999999999999E-2</v>
      </c>
      <c r="AJ28" s="123">
        <f t="shared" si="4"/>
        <v>47774.375503626114</v>
      </c>
      <c r="AK28" s="123">
        <f t="shared" si="5"/>
        <v>2260</v>
      </c>
      <c r="AL28" s="122">
        <f t="shared" si="28"/>
        <v>50034.375503626114</v>
      </c>
      <c r="AM28" s="98">
        <f>VLOOKUP(U28,'Peajes Circular CNMC'!$B$13:$J$23,7,FALSE)</f>
        <v>17.705833333333334</v>
      </c>
      <c r="AN28" s="87">
        <f>VLOOKUP(U28,'Peajes Circular CNMC'!$B$13:$J$23,8,FALSE)</f>
        <v>0</v>
      </c>
      <c r="AO28" s="87">
        <f>VLOOKUP(U28,'Peajes Circular CNMC'!$B$13:$J$23,9,FALSE)</f>
        <v>0.48</v>
      </c>
      <c r="AP28" s="123">
        <f t="shared" si="6"/>
        <v>68483.481063658357</v>
      </c>
      <c r="AQ28" s="123">
        <f t="shared" si="29"/>
        <v>0</v>
      </c>
      <c r="AR28" s="123">
        <f t="shared" si="7"/>
        <v>48000</v>
      </c>
      <c r="AS28" s="122">
        <f t="shared" si="30"/>
        <v>116483.48106365836</v>
      </c>
      <c r="AT28" s="124">
        <f t="shared" si="31"/>
        <v>404219.21474617254</v>
      </c>
      <c r="AU28" s="79">
        <f t="shared" si="8"/>
        <v>4.0421921474617255</v>
      </c>
      <c r="AW28" s="75">
        <f t="shared" si="9"/>
        <v>0.49462615126062798</v>
      </c>
      <c r="AX28" s="100">
        <f t="shared" si="10"/>
        <v>0.92763374201081583</v>
      </c>
      <c r="AY28" s="100">
        <f t="shared" si="11"/>
        <v>-0.38666109073230431</v>
      </c>
      <c r="AZ28" s="125">
        <f t="shared" si="12"/>
        <v>3310.5120870266692</v>
      </c>
      <c r="BA28" s="100">
        <f t="shared" si="13"/>
        <v>8.2575211390242109E-3</v>
      </c>
      <c r="BB28" s="192">
        <f t="shared" si="14"/>
        <v>3.3105120870266624E-2</v>
      </c>
    </row>
    <row r="29" spans="2:54">
      <c r="B29" s="105">
        <v>200000</v>
      </c>
      <c r="C29" s="112">
        <f>IF($C$5&lt;&gt;"Memoria CNMC",$C$5,IF(B29&gt;'Tipología Clientes'!$C$16,'Tipología Clientes'!$L$16,IF(B29&gt;'Tipología Clientes'!$C$15,'Tipología Clientes'!$L$15,IF(B29&gt;'Tipología Clientes'!$C$14,'Tipología Clientes'!$L$14,IF(B29&gt;'Tipología Clientes'!$C$13,'Tipología Clientes'!$L$13,IF(B29&gt;'Tipología Clientes'!$C$12,'Tipología Clientes'!$L$12,IF(B29&gt;'Tipología Clientes'!$C$11,'Tipología Clientes'!$L$11,IF(B29&gt;'Tipología Clientes'!$C$10,'Tipología Clientes'!$L$10,IF(B29&gt;'Tipología Clientes'!$C$9,'Tipología Clientes'!$L$9,IF(B29&gt;'Tipología Clientes'!$C$8,'Tipología Clientes'!$L$8,IF(B29&gt;'Tipología Clientes'!$C$7,'Tipología Clientes'!$L$7,'Tipología Clientes'!$L$6)))))))))))</f>
        <v>0.85</v>
      </c>
      <c r="D29" s="113">
        <f t="shared" si="32"/>
        <v>644.64141821112014</v>
      </c>
      <c r="E29" s="76" t="str">
        <f>IF(B29&gt;'Peajes Actuales'!$C$21,'Peajes Actuales'!$B$21,IF(B29&gt;'Peajes Actuales'!$C$20,'Peajes Actuales'!$B$20,IF(B29&gt;'Peajes Actuales'!$C$19,'Peajes Actuales'!$B$19,IF(B29&gt;'Peajes Actuales'!$C$18,'Peajes Actuales'!$B$18,IF(B29&gt;'Peajes Actuales'!$C$17,'Peajes Actuales'!$B$17,'Peajes Actuales'!$B$16)))))</f>
        <v>2.5</v>
      </c>
      <c r="F29" s="88">
        <f>'Peajes Actuales'!$H$29</f>
        <v>19.612000000000002</v>
      </c>
      <c r="G29" s="88">
        <f>'Peajes Actuales'!$I$29</f>
        <v>0.11599999999999999</v>
      </c>
      <c r="H29" s="123">
        <f t="shared" si="33"/>
        <v>151712.48992747787</v>
      </c>
      <c r="I29" s="123">
        <f t="shared" si="34"/>
        <v>23200</v>
      </c>
      <c r="J29" s="122">
        <f t="shared" si="35"/>
        <v>174912.48992747787</v>
      </c>
      <c r="K29" s="89">
        <f>'Peajes Actuales'!$I$5</f>
        <v>10.848000000000001</v>
      </c>
      <c r="L29" s="122">
        <f t="shared" si="36"/>
        <v>83916.841257050779</v>
      </c>
      <c r="M29" s="90">
        <f>VLOOKUP(E29,'Peajes Actuales'!$B$16:$J$21,7,FALSE)</f>
        <v>37.887</v>
      </c>
      <c r="N29" s="90">
        <f>VLOOKUP(E29,'Peajes Actuales'!$B$16:$J$21,9,FALSE)</f>
        <v>0.98299999999999998</v>
      </c>
      <c r="O29" s="123">
        <f t="shared" si="37"/>
        <v>293082.3529411765</v>
      </c>
      <c r="P29" s="123">
        <f t="shared" si="38"/>
        <v>196600</v>
      </c>
      <c r="Q29" s="122">
        <f t="shared" si="39"/>
        <v>489682.3529411765</v>
      </c>
      <c r="R29" s="124">
        <f t="shared" si="40"/>
        <v>748511.68412570516</v>
      </c>
      <c r="S29" s="79">
        <f t="shared" si="41"/>
        <v>3.7425584206285256</v>
      </c>
      <c r="U29" s="76" t="str">
        <f>IF(B29&gt;'Peajes Circular CNMC'!$C$23,'Peajes Circular CNMC'!$B$23,IF(B29&gt;'Peajes Circular CNMC'!$C$22,'Peajes Circular CNMC'!$B$22,IF(B29&gt;'Peajes Circular CNMC'!$C$21,'Peajes Circular CNMC'!$B$21,IF(B29&gt;'Peajes Circular CNMC'!$C$20,'Peajes Circular CNMC'!$B$20,IF(B29&gt;'Peajes Circular CNMC'!$C$19,'Peajes Circular CNMC'!$B$19,IF(B29&gt;'Peajes Circular CNMC'!$C$18,'Peajes Circular CNMC'!$B$18,IF(B29&gt;'Peajes Circular CNMC'!$C$17,'Peajes Circular CNMC'!$B$17,IF(B29&gt;'Peajes Circular CNMC'!$C$16,'Peajes Circular CNMC'!$B$16,IF(B29&gt;'Peajes Circular CNMC'!$C$15,'Peajes Circular CNMC'!$B$15,IF(B29&gt;'Peajes Circular CNMC'!$C$14,'Peajes Circular CNMC'!$B$14,'Peajes Circular CNMC'!$B$13))))))))))</f>
        <v>D.10</v>
      </c>
      <c r="V29" s="96">
        <f>'Peajes Circular CNMC'!$H$30</f>
        <v>29.867609999999999</v>
      </c>
      <c r="W29" s="88">
        <f>'Peajes Circular CNMC'!$I$30</f>
        <v>0.15190999999999999</v>
      </c>
      <c r="X29" s="123">
        <f t="shared" si="0"/>
        <v>231046.78162771961</v>
      </c>
      <c r="Y29" s="123">
        <f t="shared" si="1"/>
        <v>30381.999999999996</v>
      </c>
      <c r="Z29" s="122">
        <f t="shared" si="25"/>
        <v>261428.78162771961</v>
      </c>
      <c r="AA29" s="88">
        <f>'Peajes Circular CNMC'!$H$35</f>
        <v>0.26106499999999999</v>
      </c>
      <c r="AB29" s="122">
        <f t="shared" si="26"/>
        <v>52213</v>
      </c>
      <c r="AC29" s="97">
        <f>'Peajes Circular CNMC'!$J$6</f>
        <v>20.326666666666664</v>
      </c>
      <c r="AD29" s="97">
        <f>'Peajes Circular CNMC'!$J$7</f>
        <v>2.2599999999999999E-2</v>
      </c>
      <c r="AE29" s="123">
        <f t="shared" si="2"/>
        <v>157240.93473005641</v>
      </c>
      <c r="AF29" s="123">
        <f t="shared" si="3"/>
        <v>4520</v>
      </c>
      <c r="AG29" s="122">
        <f t="shared" si="27"/>
        <v>161760.93473005641</v>
      </c>
      <c r="AH29" s="97">
        <f>'Peajes Circular CNMC'!$K$6</f>
        <v>12.351666666666667</v>
      </c>
      <c r="AI29" s="97">
        <f>'Peajes Circular CNMC'!$K$7</f>
        <v>2.2599999999999999E-2</v>
      </c>
      <c r="AJ29" s="123">
        <f t="shared" si="4"/>
        <v>95548.751007252227</v>
      </c>
      <c r="AK29" s="123">
        <f t="shared" si="5"/>
        <v>4520</v>
      </c>
      <c r="AL29" s="122">
        <f t="shared" si="28"/>
        <v>100068.75100725223</v>
      </c>
      <c r="AM29" s="98">
        <f>VLOOKUP(U29,'Peajes Circular CNMC'!$B$13:$J$23,7,FALSE)</f>
        <v>13.934166666666668</v>
      </c>
      <c r="AN29" s="87">
        <f>VLOOKUP(U29,'Peajes Circular CNMC'!$B$13:$J$23,8,FALSE)</f>
        <v>0</v>
      </c>
      <c r="AO29" s="87">
        <f>VLOOKUP(U29,'Peajes Circular CNMC'!$B$13:$J$23,9,FALSE)</f>
        <v>0.38700000000000001</v>
      </c>
      <c r="AP29" s="123">
        <f t="shared" si="6"/>
        <v>107790.4915390814</v>
      </c>
      <c r="AQ29" s="123">
        <f t="shared" si="29"/>
        <v>0</v>
      </c>
      <c r="AR29" s="123">
        <f t="shared" si="7"/>
        <v>77400</v>
      </c>
      <c r="AS29" s="122">
        <f t="shared" si="30"/>
        <v>185190.49153908138</v>
      </c>
      <c r="AT29" s="124">
        <f t="shared" si="31"/>
        <v>760661.95890410966</v>
      </c>
      <c r="AU29" s="79">
        <f t="shared" si="8"/>
        <v>3.8033097945205485</v>
      </c>
      <c r="AW29" s="75">
        <f t="shared" si="9"/>
        <v>0.49462615126062798</v>
      </c>
      <c r="AX29" s="100">
        <f t="shared" si="10"/>
        <v>0.92763374201081583</v>
      </c>
      <c r="AY29" s="100">
        <f t="shared" si="11"/>
        <v>-0.41746064396034999</v>
      </c>
      <c r="AZ29" s="125">
        <f t="shared" si="12"/>
        <v>12150.274778404506</v>
      </c>
      <c r="BA29" s="100">
        <f t="shared" si="13"/>
        <v>1.6232578643841165E-2</v>
      </c>
      <c r="BB29" s="192">
        <f t="shared" si="14"/>
        <v>6.0751373892022897E-2</v>
      </c>
    </row>
    <row r="30" spans="2:54">
      <c r="B30" s="105">
        <v>250000</v>
      </c>
      <c r="C30" s="112">
        <f>IF($C$5&lt;&gt;"Memoria CNMC",$C$5,IF(B30&gt;'Tipología Clientes'!$C$16,'Tipología Clientes'!$L$16,IF(B30&gt;'Tipología Clientes'!$C$15,'Tipología Clientes'!$L$15,IF(B30&gt;'Tipología Clientes'!$C$14,'Tipología Clientes'!$L$14,IF(B30&gt;'Tipología Clientes'!$C$13,'Tipología Clientes'!$L$13,IF(B30&gt;'Tipología Clientes'!$C$12,'Tipología Clientes'!$L$12,IF(B30&gt;'Tipología Clientes'!$C$11,'Tipología Clientes'!$L$11,IF(B30&gt;'Tipología Clientes'!$C$10,'Tipología Clientes'!$L$10,IF(B30&gt;'Tipología Clientes'!$C$9,'Tipología Clientes'!$L$9,IF(B30&gt;'Tipología Clientes'!$C$8,'Tipología Clientes'!$L$8,IF(B30&gt;'Tipología Clientes'!$C$7,'Tipología Clientes'!$L$7,'Tipología Clientes'!$L$6)))))))))))</f>
        <v>0.85</v>
      </c>
      <c r="D30" s="113">
        <f t="shared" si="32"/>
        <v>805.80177276390009</v>
      </c>
      <c r="E30" s="76" t="str">
        <f>IF(B30&gt;'Peajes Actuales'!$C$21,'Peajes Actuales'!$B$21,IF(B30&gt;'Peajes Actuales'!$C$20,'Peajes Actuales'!$B$20,IF(B30&gt;'Peajes Actuales'!$C$19,'Peajes Actuales'!$B$19,IF(B30&gt;'Peajes Actuales'!$C$18,'Peajes Actuales'!$B$18,IF(B30&gt;'Peajes Actuales'!$C$17,'Peajes Actuales'!$B$17,'Peajes Actuales'!$B$16)))))</f>
        <v>2.5</v>
      </c>
      <c r="F30" s="88">
        <f>'Peajes Actuales'!$H$29</f>
        <v>19.612000000000002</v>
      </c>
      <c r="G30" s="88">
        <f>'Peajes Actuales'!$I$29</f>
        <v>0.11599999999999999</v>
      </c>
      <c r="H30" s="123">
        <f t="shared" si="33"/>
        <v>189640.61240934732</v>
      </c>
      <c r="I30" s="123">
        <f t="shared" si="34"/>
        <v>28999.999999999996</v>
      </c>
      <c r="J30" s="122">
        <f t="shared" si="35"/>
        <v>218640.61240934732</v>
      </c>
      <c r="K30" s="89">
        <f>'Peajes Actuales'!$I$5</f>
        <v>10.848000000000001</v>
      </c>
      <c r="L30" s="122">
        <f t="shared" si="36"/>
        <v>104896.05157131347</v>
      </c>
      <c r="M30" s="90">
        <f>VLOOKUP(E30,'Peajes Actuales'!$B$16:$J$21,7,FALSE)</f>
        <v>37.887</v>
      </c>
      <c r="N30" s="90">
        <f>VLOOKUP(E30,'Peajes Actuales'!$B$16:$J$21,9,FALSE)</f>
        <v>0.98299999999999998</v>
      </c>
      <c r="O30" s="123">
        <f t="shared" si="37"/>
        <v>366352.9411764706</v>
      </c>
      <c r="P30" s="123">
        <f t="shared" si="38"/>
        <v>245750</v>
      </c>
      <c r="Q30" s="122">
        <f t="shared" si="39"/>
        <v>612102.9411764706</v>
      </c>
      <c r="R30" s="124">
        <f t="shared" si="40"/>
        <v>935639.60515713133</v>
      </c>
      <c r="S30" s="79">
        <f t="shared" si="41"/>
        <v>3.7425584206285252</v>
      </c>
      <c r="U30" s="76" t="str">
        <f>IF(B30&gt;'Peajes Circular CNMC'!$C$23,'Peajes Circular CNMC'!$B$23,IF(B30&gt;'Peajes Circular CNMC'!$C$22,'Peajes Circular CNMC'!$B$22,IF(B30&gt;'Peajes Circular CNMC'!$C$21,'Peajes Circular CNMC'!$B$21,IF(B30&gt;'Peajes Circular CNMC'!$C$20,'Peajes Circular CNMC'!$B$20,IF(B30&gt;'Peajes Circular CNMC'!$C$19,'Peajes Circular CNMC'!$B$19,IF(B30&gt;'Peajes Circular CNMC'!$C$18,'Peajes Circular CNMC'!$B$18,IF(B30&gt;'Peajes Circular CNMC'!$C$17,'Peajes Circular CNMC'!$B$17,IF(B30&gt;'Peajes Circular CNMC'!$C$16,'Peajes Circular CNMC'!$B$16,IF(B30&gt;'Peajes Circular CNMC'!$C$15,'Peajes Circular CNMC'!$B$15,IF(B30&gt;'Peajes Circular CNMC'!$C$14,'Peajes Circular CNMC'!$B$14,'Peajes Circular CNMC'!$B$13))))))))))</f>
        <v>D.10</v>
      </c>
      <c r="V30" s="96">
        <f>'Peajes Circular CNMC'!$H$30</f>
        <v>29.867609999999999</v>
      </c>
      <c r="W30" s="88">
        <f>'Peajes Circular CNMC'!$I$30</f>
        <v>0.15190999999999999</v>
      </c>
      <c r="X30" s="123">
        <f t="shared" si="0"/>
        <v>288808.47703464946</v>
      </c>
      <c r="Y30" s="123">
        <f t="shared" si="1"/>
        <v>37977.5</v>
      </c>
      <c r="Z30" s="122">
        <f t="shared" ref="Z30" si="42">X30+Y30</f>
        <v>326785.97703464946</v>
      </c>
      <c r="AA30" s="88">
        <f>'Peajes Circular CNMC'!$H$35</f>
        <v>0.26106499999999999</v>
      </c>
      <c r="AB30" s="122">
        <f t="shared" si="26"/>
        <v>65266.25</v>
      </c>
      <c r="AC30" s="97">
        <f>'Peajes Circular CNMC'!$J$6</f>
        <v>20.326666666666664</v>
      </c>
      <c r="AD30" s="97">
        <f>'Peajes Circular CNMC'!$J$7</f>
        <v>2.2599999999999999E-2</v>
      </c>
      <c r="AE30" s="123">
        <f t="shared" si="2"/>
        <v>196551.16841257046</v>
      </c>
      <c r="AF30" s="123">
        <f t="shared" si="3"/>
        <v>5650</v>
      </c>
      <c r="AG30" s="122">
        <f t="shared" ref="AG30" si="43">AE30+AF30</f>
        <v>202201.16841257046</v>
      </c>
      <c r="AH30" s="97">
        <f>'Peajes Circular CNMC'!$K$6</f>
        <v>12.351666666666667</v>
      </c>
      <c r="AI30" s="97">
        <f>'Peajes Circular CNMC'!$K$7</f>
        <v>2.2599999999999999E-2</v>
      </c>
      <c r="AJ30" s="123">
        <f t="shared" si="4"/>
        <v>119435.93875906528</v>
      </c>
      <c r="AK30" s="123">
        <f t="shared" si="5"/>
        <v>5650</v>
      </c>
      <c r="AL30" s="122">
        <f t="shared" ref="AL30" si="44">AJ30+AK30</f>
        <v>125085.93875906528</v>
      </c>
      <c r="AM30" s="98">
        <f>VLOOKUP(U30,'Peajes Circular CNMC'!$B$13:$J$23,7,FALSE)</f>
        <v>13.934166666666668</v>
      </c>
      <c r="AN30" s="87">
        <f>VLOOKUP(U30,'Peajes Circular CNMC'!$B$13:$J$23,8,FALSE)</f>
        <v>0</v>
      </c>
      <c r="AO30" s="87">
        <f>VLOOKUP(U30,'Peajes Circular CNMC'!$B$13:$J$23,9,FALSE)</f>
        <v>0.38700000000000001</v>
      </c>
      <c r="AP30" s="123">
        <f t="shared" si="6"/>
        <v>134738.11442385174</v>
      </c>
      <c r="AQ30" s="123">
        <f t="shared" ref="AQ30" si="45">12*AN30</f>
        <v>0</v>
      </c>
      <c r="AR30" s="123">
        <f t="shared" si="7"/>
        <v>96750</v>
      </c>
      <c r="AS30" s="122">
        <f t="shared" ref="AS30" si="46">AP30+AQ30+AR30</f>
        <v>231488.11442385174</v>
      </c>
      <c r="AT30" s="124">
        <f t="shared" si="31"/>
        <v>950827.4486301369</v>
      </c>
      <c r="AU30" s="79">
        <f t="shared" si="8"/>
        <v>3.8033097945205476</v>
      </c>
      <c r="AW30" s="75">
        <f t="shared" si="9"/>
        <v>0.49462615126062792</v>
      </c>
      <c r="AX30" s="100">
        <f t="shared" si="10"/>
        <v>0.9276337420108155</v>
      </c>
      <c r="AY30" s="100">
        <f t="shared" si="11"/>
        <v>-0.41746064396034993</v>
      </c>
      <c r="AZ30" s="125">
        <f t="shared" si="12"/>
        <v>15187.843473005574</v>
      </c>
      <c r="BA30" s="100">
        <f t="shared" si="13"/>
        <v>1.6232578643841106E-2</v>
      </c>
      <c r="BB30" s="192">
        <f t="shared" si="14"/>
        <v>6.0751373892022453E-2</v>
      </c>
    </row>
    <row r="31" spans="2:54">
      <c r="B31" s="105">
        <v>300000</v>
      </c>
      <c r="C31" s="112">
        <f>IF($C$5&lt;&gt;"Memoria CNMC",$C$5,IF(B31&gt;'Tipología Clientes'!$C$16,'Tipología Clientes'!$L$16,IF(B31&gt;'Tipología Clientes'!$C$15,'Tipología Clientes'!$L$15,IF(B31&gt;'Tipología Clientes'!$C$14,'Tipología Clientes'!$L$14,IF(B31&gt;'Tipología Clientes'!$C$13,'Tipología Clientes'!$L$13,IF(B31&gt;'Tipología Clientes'!$C$12,'Tipología Clientes'!$L$12,IF(B31&gt;'Tipología Clientes'!$C$11,'Tipología Clientes'!$L$11,IF(B31&gt;'Tipología Clientes'!$C$10,'Tipología Clientes'!$L$10,IF(B31&gt;'Tipología Clientes'!$C$9,'Tipología Clientes'!$L$9,IF(B31&gt;'Tipología Clientes'!$C$8,'Tipología Clientes'!$L$8,IF(B31&gt;'Tipología Clientes'!$C$7,'Tipología Clientes'!$L$7,'Tipología Clientes'!$L$6)))))))))))</f>
        <v>0.85</v>
      </c>
      <c r="D31" s="113">
        <f t="shared" si="32"/>
        <v>966.96212731668004</v>
      </c>
      <c r="E31" s="76" t="str">
        <f>IF(B31&gt;'Peajes Actuales'!$C$21,'Peajes Actuales'!$B$21,IF(B31&gt;'Peajes Actuales'!$C$20,'Peajes Actuales'!$B$20,IF(B31&gt;'Peajes Actuales'!$C$19,'Peajes Actuales'!$B$19,IF(B31&gt;'Peajes Actuales'!$C$18,'Peajes Actuales'!$B$18,IF(B31&gt;'Peajes Actuales'!$C$17,'Peajes Actuales'!$B$17,'Peajes Actuales'!$B$16)))))</f>
        <v>2.5</v>
      </c>
      <c r="F31" s="88">
        <f>'Peajes Actuales'!$H$29</f>
        <v>19.612000000000002</v>
      </c>
      <c r="G31" s="88">
        <f>'Peajes Actuales'!$I$29</f>
        <v>0.11599999999999999</v>
      </c>
      <c r="H31" s="123">
        <f t="shared" si="33"/>
        <v>227568.73489121677</v>
      </c>
      <c r="I31" s="123">
        <f t="shared" si="34"/>
        <v>34800</v>
      </c>
      <c r="J31" s="122">
        <f t="shared" si="35"/>
        <v>262368.73489121674</v>
      </c>
      <c r="K31" s="89">
        <f>'Peajes Actuales'!$I$5</f>
        <v>10.848000000000001</v>
      </c>
      <c r="L31" s="122">
        <f t="shared" si="36"/>
        <v>125875.26188557615</v>
      </c>
      <c r="M31" s="90">
        <f>VLOOKUP(E31,'Peajes Actuales'!$B$16:$J$21,7,FALSE)</f>
        <v>37.887</v>
      </c>
      <c r="N31" s="90">
        <f>VLOOKUP(E31,'Peajes Actuales'!$B$16:$J$21,9,FALSE)</f>
        <v>0.98299999999999998</v>
      </c>
      <c r="O31" s="123">
        <f t="shared" si="37"/>
        <v>439623.5294117647</v>
      </c>
      <c r="P31" s="123">
        <f t="shared" si="38"/>
        <v>294900</v>
      </c>
      <c r="Q31" s="122">
        <f t="shared" si="39"/>
        <v>734523.5294117647</v>
      </c>
      <c r="R31" s="124">
        <f t="shared" si="40"/>
        <v>1122767.5261885575</v>
      </c>
      <c r="S31" s="79">
        <f t="shared" si="41"/>
        <v>3.7425584206285252</v>
      </c>
      <c r="U31" s="76" t="str">
        <f>IF(B31&gt;'Peajes Circular CNMC'!$C$23,'Peajes Circular CNMC'!$B$23,IF(B31&gt;'Peajes Circular CNMC'!$C$22,'Peajes Circular CNMC'!$B$22,IF(B31&gt;'Peajes Circular CNMC'!$C$21,'Peajes Circular CNMC'!$B$21,IF(B31&gt;'Peajes Circular CNMC'!$C$20,'Peajes Circular CNMC'!$B$20,IF(B31&gt;'Peajes Circular CNMC'!$C$19,'Peajes Circular CNMC'!$B$19,IF(B31&gt;'Peajes Circular CNMC'!$C$18,'Peajes Circular CNMC'!$B$18,IF(B31&gt;'Peajes Circular CNMC'!$C$17,'Peajes Circular CNMC'!$B$17,IF(B31&gt;'Peajes Circular CNMC'!$C$16,'Peajes Circular CNMC'!$B$16,IF(B31&gt;'Peajes Circular CNMC'!$C$15,'Peajes Circular CNMC'!$B$15,IF(B31&gt;'Peajes Circular CNMC'!$C$14,'Peajes Circular CNMC'!$B$14,'Peajes Circular CNMC'!$B$13))))))))))</f>
        <v>D.10</v>
      </c>
      <c r="V31" s="96">
        <f>'Peajes Circular CNMC'!$H$30</f>
        <v>29.867609999999999</v>
      </c>
      <c r="W31" s="88">
        <f>'Peajes Circular CNMC'!$I$30</f>
        <v>0.15190999999999999</v>
      </c>
      <c r="X31" s="123">
        <f t="shared" si="0"/>
        <v>346570.17244157934</v>
      </c>
      <c r="Y31" s="123">
        <f t="shared" si="1"/>
        <v>45573</v>
      </c>
      <c r="Z31" s="122">
        <f t="shared" si="25"/>
        <v>392143.17244157934</v>
      </c>
      <c r="AA31" s="88">
        <f>'Peajes Circular CNMC'!$H$35</f>
        <v>0.26106499999999999</v>
      </c>
      <c r="AB31" s="122">
        <f t="shared" si="26"/>
        <v>78319.5</v>
      </c>
      <c r="AC31" s="97">
        <f>'Peajes Circular CNMC'!$J$6</f>
        <v>20.326666666666664</v>
      </c>
      <c r="AD31" s="97">
        <f>'Peajes Circular CNMC'!$J$7</f>
        <v>2.2599999999999999E-2</v>
      </c>
      <c r="AE31" s="123">
        <f t="shared" si="2"/>
        <v>235861.40209508454</v>
      </c>
      <c r="AF31" s="123">
        <f t="shared" si="3"/>
        <v>6780</v>
      </c>
      <c r="AG31" s="122">
        <f t="shared" si="27"/>
        <v>242641.40209508454</v>
      </c>
      <c r="AH31" s="97">
        <f>'Peajes Circular CNMC'!$K$6</f>
        <v>12.351666666666667</v>
      </c>
      <c r="AI31" s="97">
        <f>'Peajes Circular CNMC'!$K$7</f>
        <v>2.2599999999999999E-2</v>
      </c>
      <c r="AJ31" s="123">
        <f t="shared" si="4"/>
        <v>143323.12651087833</v>
      </c>
      <c r="AK31" s="123">
        <f t="shared" si="5"/>
        <v>6780</v>
      </c>
      <c r="AL31" s="122">
        <f t="shared" si="28"/>
        <v>150103.12651087833</v>
      </c>
      <c r="AM31" s="98">
        <f>VLOOKUP(U31,'Peajes Circular CNMC'!$B$13:$J$23,7,FALSE)</f>
        <v>13.934166666666668</v>
      </c>
      <c r="AN31" s="87">
        <f>VLOOKUP(U31,'Peajes Circular CNMC'!$B$13:$J$23,8,FALSE)</f>
        <v>0</v>
      </c>
      <c r="AO31" s="87">
        <f>VLOOKUP(U31,'Peajes Circular CNMC'!$B$13:$J$23,9,FALSE)</f>
        <v>0.38700000000000001</v>
      </c>
      <c r="AP31" s="123">
        <f t="shared" si="6"/>
        <v>161685.73730862208</v>
      </c>
      <c r="AQ31" s="123">
        <f t="shared" si="29"/>
        <v>0</v>
      </c>
      <c r="AR31" s="123">
        <f t="shared" si="7"/>
        <v>116100</v>
      </c>
      <c r="AS31" s="122">
        <f t="shared" si="30"/>
        <v>277785.73730862211</v>
      </c>
      <c r="AT31" s="124">
        <f t="shared" si="31"/>
        <v>1140992.9383561644</v>
      </c>
      <c r="AU31" s="79">
        <f t="shared" si="8"/>
        <v>3.8033097945205481</v>
      </c>
      <c r="AW31" s="75">
        <f t="shared" si="9"/>
        <v>0.49462615126062809</v>
      </c>
      <c r="AX31" s="100">
        <f t="shared" si="10"/>
        <v>0.9276337420108155</v>
      </c>
      <c r="AY31" s="100">
        <f t="shared" si="11"/>
        <v>-0.41746064396034988</v>
      </c>
      <c r="AZ31" s="125">
        <f t="shared" si="12"/>
        <v>18225.412167606875</v>
      </c>
      <c r="BA31" s="100">
        <f t="shared" si="13"/>
        <v>1.6232578643841273E-2</v>
      </c>
      <c r="BB31" s="192">
        <f t="shared" si="14"/>
        <v>6.0751373892022897E-2</v>
      </c>
    </row>
    <row r="32" spans="2:54">
      <c r="B32" s="105">
        <v>350000</v>
      </c>
      <c r="C32" s="112">
        <f>IF($C$5&lt;&gt;"Memoria CNMC",$C$5,IF(B32&gt;'Tipología Clientes'!$C$16,'Tipología Clientes'!$L$16,IF(B32&gt;'Tipología Clientes'!$C$15,'Tipología Clientes'!$L$15,IF(B32&gt;'Tipología Clientes'!$C$14,'Tipología Clientes'!$L$14,IF(B32&gt;'Tipología Clientes'!$C$13,'Tipología Clientes'!$L$13,IF(B32&gt;'Tipología Clientes'!$C$12,'Tipología Clientes'!$L$12,IF(B32&gt;'Tipología Clientes'!$C$11,'Tipología Clientes'!$L$11,IF(B32&gt;'Tipología Clientes'!$C$10,'Tipología Clientes'!$L$10,IF(B32&gt;'Tipología Clientes'!$C$9,'Tipología Clientes'!$L$9,IF(B32&gt;'Tipología Clientes'!$C$8,'Tipología Clientes'!$L$8,IF(B32&gt;'Tipología Clientes'!$C$7,'Tipología Clientes'!$L$7,'Tipología Clientes'!$L$6)))))))))))</f>
        <v>0.85</v>
      </c>
      <c r="D32" s="113">
        <f t="shared" si="32"/>
        <v>1128.1224818694602</v>
      </c>
      <c r="E32" s="76" t="str">
        <f>IF(B32&gt;'Peajes Actuales'!$C$21,'Peajes Actuales'!$B$21,IF(B32&gt;'Peajes Actuales'!$C$20,'Peajes Actuales'!$B$20,IF(B32&gt;'Peajes Actuales'!$C$19,'Peajes Actuales'!$B$19,IF(B32&gt;'Peajes Actuales'!$C$18,'Peajes Actuales'!$B$18,IF(B32&gt;'Peajes Actuales'!$C$17,'Peajes Actuales'!$B$17,'Peajes Actuales'!$B$16)))))</f>
        <v>2.5</v>
      </c>
      <c r="F32" s="88">
        <f>'Peajes Actuales'!$H$29</f>
        <v>19.612000000000002</v>
      </c>
      <c r="G32" s="88">
        <f>'Peajes Actuales'!$I$29</f>
        <v>0.11599999999999999</v>
      </c>
      <c r="H32" s="123">
        <f t="shared" si="33"/>
        <v>265496.85737308627</v>
      </c>
      <c r="I32" s="123">
        <f t="shared" si="34"/>
        <v>40600</v>
      </c>
      <c r="J32" s="122">
        <f t="shared" si="35"/>
        <v>306096.85737308627</v>
      </c>
      <c r="K32" s="89">
        <f>'Peajes Actuales'!$I$5</f>
        <v>10.848000000000001</v>
      </c>
      <c r="L32" s="122">
        <f t="shared" si="36"/>
        <v>146854.47219983887</v>
      </c>
      <c r="M32" s="90">
        <f>VLOOKUP(E32,'Peajes Actuales'!$B$16:$J$21,7,FALSE)</f>
        <v>37.887</v>
      </c>
      <c r="N32" s="90">
        <f>VLOOKUP(E32,'Peajes Actuales'!$B$16:$J$21,9,FALSE)</f>
        <v>0.98299999999999998</v>
      </c>
      <c r="O32" s="123">
        <f t="shared" si="37"/>
        <v>512894.11764705885</v>
      </c>
      <c r="P32" s="123">
        <f t="shared" si="38"/>
        <v>344050</v>
      </c>
      <c r="Q32" s="122">
        <f t="shared" si="39"/>
        <v>856944.1176470588</v>
      </c>
      <c r="R32" s="124">
        <f t="shared" si="40"/>
        <v>1309895.4472199839</v>
      </c>
      <c r="S32" s="79">
        <f t="shared" si="41"/>
        <v>3.7425584206285256</v>
      </c>
      <c r="U32" s="76" t="str">
        <f>IF(B32&gt;'Peajes Circular CNMC'!$C$23,'Peajes Circular CNMC'!$B$23,IF(B32&gt;'Peajes Circular CNMC'!$C$22,'Peajes Circular CNMC'!$B$22,IF(B32&gt;'Peajes Circular CNMC'!$C$21,'Peajes Circular CNMC'!$B$21,IF(B32&gt;'Peajes Circular CNMC'!$C$20,'Peajes Circular CNMC'!$B$20,IF(B32&gt;'Peajes Circular CNMC'!$C$19,'Peajes Circular CNMC'!$B$19,IF(B32&gt;'Peajes Circular CNMC'!$C$18,'Peajes Circular CNMC'!$B$18,IF(B32&gt;'Peajes Circular CNMC'!$C$17,'Peajes Circular CNMC'!$B$17,IF(B32&gt;'Peajes Circular CNMC'!$C$16,'Peajes Circular CNMC'!$B$16,IF(B32&gt;'Peajes Circular CNMC'!$C$15,'Peajes Circular CNMC'!$B$15,IF(B32&gt;'Peajes Circular CNMC'!$C$14,'Peajes Circular CNMC'!$B$14,'Peajes Circular CNMC'!$B$13))))))))))</f>
        <v>D.10</v>
      </c>
      <c r="V32" s="96">
        <f>'Peajes Circular CNMC'!$H$30</f>
        <v>29.867609999999999</v>
      </c>
      <c r="W32" s="88">
        <f>'Peajes Circular CNMC'!$I$30</f>
        <v>0.15190999999999999</v>
      </c>
      <c r="X32" s="123">
        <f t="shared" si="0"/>
        <v>404331.86784850928</v>
      </c>
      <c r="Y32" s="123">
        <f t="shared" si="1"/>
        <v>53168.499999999993</v>
      </c>
      <c r="Z32" s="122">
        <f t="shared" si="25"/>
        <v>457500.36784850928</v>
      </c>
      <c r="AA32" s="88">
        <f>'Peajes Circular CNMC'!$H$35</f>
        <v>0.26106499999999999</v>
      </c>
      <c r="AB32" s="122">
        <f t="shared" si="26"/>
        <v>91372.75</v>
      </c>
      <c r="AC32" s="97">
        <f>'Peajes Circular CNMC'!$J$6</f>
        <v>20.326666666666664</v>
      </c>
      <c r="AD32" s="97">
        <f>'Peajes Circular CNMC'!$J$7</f>
        <v>2.2599999999999999E-2</v>
      </c>
      <c r="AE32" s="123">
        <f t="shared" si="2"/>
        <v>275171.63577759871</v>
      </c>
      <c r="AF32" s="123">
        <f t="shared" si="3"/>
        <v>7909.9999999999991</v>
      </c>
      <c r="AG32" s="122">
        <f t="shared" si="27"/>
        <v>283081.63577759871</v>
      </c>
      <c r="AH32" s="97">
        <f>'Peajes Circular CNMC'!$K$6</f>
        <v>12.351666666666667</v>
      </c>
      <c r="AI32" s="97">
        <f>'Peajes Circular CNMC'!$K$7</f>
        <v>2.2599999999999999E-2</v>
      </c>
      <c r="AJ32" s="123">
        <f t="shared" si="4"/>
        <v>167210.31426269139</v>
      </c>
      <c r="AK32" s="123">
        <f t="shared" si="5"/>
        <v>7909.9999999999991</v>
      </c>
      <c r="AL32" s="122">
        <f t="shared" si="28"/>
        <v>175120.31426269139</v>
      </c>
      <c r="AM32" s="98">
        <f>VLOOKUP(U32,'Peajes Circular CNMC'!$B$13:$J$23,7,FALSE)</f>
        <v>13.934166666666668</v>
      </c>
      <c r="AN32" s="87">
        <f>VLOOKUP(U32,'Peajes Circular CNMC'!$B$13:$J$23,8,FALSE)</f>
        <v>0</v>
      </c>
      <c r="AO32" s="87">
        <f>VLOOKUP(U32,'Peajes Circular CNMC'!$B$13:$J$23,9,FALSE)</f>
        <v>0.38700000000000001</v>
      </c>
      <c r="AP32" s="123">
        <f t="shared" si="6"/>
        <v>188633.36019339247</v>
      </c>
      <c r="AQ32" s="123">
        <f t="shared" si="29"/>
        <v>0</v>
      </c>
      <c r="AR32" s="123">
        <f t="shared" si="7"/>
        <v>135450</v>
      </c>
      <c r="AS32" s="122">
        <f t="shared" si="30"/>
        <v>324083.36019339249</v>
      </c>
      <c r="AT32" s="124">
        <f t="shared" si="31"/>
        <v>1331158.4280821919</v>
      </c>
      <c r="AU32" s="79">
        <f t="shared" si="8"/>
        <v>3.8033097945205481</v>
      </c>
      <c r="AW32" s="75">
        <f t="shared" si="9"/>
        <v>0.49462615126062792</v>
      </c>
      <c r="AX32" s="100">
        <f t="shared" si="10"/>
        <v>0.92763374201081572</v>
      </c>
      <c r="AY32" s="100">
        <f t="shared" si="11"/>
        <v>-0.41746064396034976</v>
      </c>
      <c r="AZ32" s="125">
        <f t="shared" si="12"/>
        <v>21262.980862207944</v>
      </c>
      <c r="BA32" s="100">
        <f t="shared" si="13"/>
        <v>1.623257864384121E-2</v>
      </c>
      <c r="BB32" s="192">
        <f t="shared" si="14"/>
        <v>6.0751373892022453E-2</v>
      </c>
    </row>
    <row r="33" spans="1:54">
      <c r="B33" s="105">
        <v>400000</v>
      </c>
      <c r="C33" s="112">
        <f>IF($C$5&lt;&gt;"Memoria CNMC",$C$5,IF(B33&gt;'Tipología Clientes'!$C$16,'Tipología Clientes'!$L$16,IF(B33&gt;'Tipología Clientes'!$C$15,'Tipología Clientes'!$L$15,IF(B33&gt;'Tipología Clientes'!$C$14,'Tipología Clientes'!$L$14,IF(B33&gt;'Tipología Clientes'!$C$13,'Tipología Clientes'!$L$13,IF(B33&gt;'Tipología Clientes'!$C$12,'Tipología Clientes'!$L$12,IF(B33&gt;'Tipología Clientes'!$C$11,'Tipología Clientes'!$L$11,IF(B33&gt;'Tipología Clientes'!$C$10,'Tipología Clientes'!$L$10,IF(B33&gt;'Tipología Clientes'!$C$9,'Tipología Clientes'!$L$9,IF(B33&gt;'Tipología Clientes'!$C$8,'Tipología Clientes'!$L$8,IF(B33&gt;'Tipología Clientes'!$C$7,'Tipología Clientes'!$L$7,'Tipología Clientes'!$L$6)))))))))))</f>
        <v>0.85</v>
      </c>
      <c r="D33" s="113">
        <f t="shared" si="32"/>
        <v>1289.2828364222403</v>
      </c>
      <c r="E33" s="76" t="str">
        <f>IF(B33&gt;'Peajes Actuales'!$C$21,'Peajes Actuales'!$B$21,IF(B33&gt;'Peajes Actuales'!$C$20,'Peajes Actuales'!$B$20,IF(B33&gt;'Peajes Actuales'!$C$19,'Peajes Actuales'!$B$19,IF(B33&gt;'Peajes Actuales'!$C$18,'Peajes Actuales'!$B$18,IF(B33&gt;'Peajes Actuales'!$C$17,'Peajes Actuales'!$B$17,'Peajes Actuales'!$B$16)))))</f>
        <v>2.5</v>
      </c>
      <c r="F33" s="88">
        <f>'Peajes Actuales'!$H$29</f>
        <v>19.612000000000002</v>
      </c>
      <c r="G33" s="88">
        <f>'Peajes Actuales'!$I$29</f>
        <v>0.11599999999999999</v>
      </c>
      <c r="H33" s="123">
        <f t="shared" si="33"/>
        <v>303424.97985495575</v>
      </c>
      <c r="I33" s="123">
        <f t="shared" si="34"/>
        <v>46400</v>
      </c>
      <c r="J33" s="122">
        <f t="shared" si="35"/>
        <v>349824.97985495575</v>
      </c>
      <c r="K33" s="89">
        <f>'Peajes Actuales'!$I$5</f>
        <v>10.848000000000001</v>
      </c>
      <c r="L33" s="122">
        <f t="shared" si="36"/>
        <v>167833.68251410156</v>
      </c>
      <c r="M33" s="90">
        <f>VLOOKUP(E33,'Peajes Actuales'!$B$16:$J$21,7,FALSE)</f>
        <v>37.887</v>
      </c>
      <c r="N33" s="90">
        <f>VLOOKUP(E33,'Peajes Actuales'!$B$16:$J$21,9,FALSE)</f>
        <v>0.98299999999999998</v>
      </c>
      <c r="O33" s="123">
        <f t="shared" si="37"/>
        <v>586164.70588235301</v>
      </c>
      <c r="P33" s="123">
        <f t="shared" si="38"/>
        <v>393200</v>
      </c>
      <c r="Q33" s="122">
        <f t="shared" si="39"/>
        <v>979364.70588235301</v>
      </c>
      <c r="R33" s="124">
        <f t="shared" si="40"/>
        <v>1497023.3682514103</v>
      </c>
      <c r="S33" s="79">
        <f t="shared" si="41"/>
        <v>3.7425584206285256</v>
      </c>
      <c r="U33" s="76" t="str">
        <f>IF(B33&gt;'Peajes Circular CNMC'!$C$23,'Peajes Circular CNMC'!$B$23,IF(B33&gt;'Peajes Circular CNMC'!$C$22,'Peajes Circular CNMC'!$B$22,IF(B33&gt;'Peajes Circular CNMC'!$C$21,'Peajes Circular CNMC'!$B$21,IF(B33&gt;'Peajes Circular CNMC'!$C$20,'Peajes Circular CNMC'!$B$20,IF(B33&gt;'Peajes Circular CNMC'!$C$19,'Peajes Circular CNMC'!$B$19,IF(B33&gt;'Peajes Circular CNMC'!$C$18,'Peajes Circular CNMC'!$B$18,IF(B33&gt;'Peajes Circular CNMC'!$C$17,'Peajes Circular CNMC'!$B$17,IF(B33&gt;'Peajes Circular CNMC'!$C$16,'Peajes Circular CNMC'!$B$16,IF(B33&gt;'Peajes Circular CNMC'!$C$15,'Peajes Circular CNMC'!$B$15,IF(B33&gt;'Peajes Circular CNMC'!$C$14,'Peajes Circular CNMC'!$B$14,'Peajes Circular CNMC'!$B$13))))))))))</f>
        <v>D.10</v>
      </c>
      <c r="V33" s="96">
        <f>'Peajes Circular CNMC'!$H$30</f>
        <v>29.867609999999999</v>
      </c>
      <c r="W33" s="88">
        <f>'Peajes Circular CNMC'!$I$30</f>
        <v>0.15190999999999999</v>
      </c>
      <c r="X33" s="123">
        <f t="shared" si="0"/>
        <v>462093.56325543922</v>
      </c>
      <c r="Y33" s="123">
        <f t="shared" si="1"/>
        <v>60763.999999999993</v>
      </c>
      <c r="Z33" s="122">
        <f t="shared" si="25"/>
        <v>522857.56325543922</v>
      </c>
      <c r="AA33" s="88">
        <f>'Peajes Circular CNMC'!$H$35</f>
        <v>0.26106499999999999</v>
      </c>
      <c r="AB33" s="122">
        <f t="shared" si="26"/>
        <v>104426</v>
      </c>
      <c r="AC33" s="97">
        <f>'Peajes Circular CNMC'!$J$6</f>
        <v>20.326666666666664</v>
      </c>
      <c r="AD33" s="97">
        <f>'Peajes Circular CNMC'!$J$7</f>
        <v>2.2599999999999999E-2</v>
      </c>
      <c r="AE33" s="123">
        <f t="shared" si="2"/>
        <v>314481.86946011282</v>
      </c>
      <c r="AF33" s="123">
        <f t="shared" si="3"/>
        <v>9040</v>
      </c>
      <c r="AG33" s="122">
        <f t="shared" si="27"/>
        <v>323521.86946011282</v>
      </c>
      <c r="AH33" s="97">
        <f>'Peajes Circular CNMC'!$K$6</f>
        <v>12.351666666666667</v>
      </c>
      <c r="AI33" s="97">
        <f>'Peajes Circular CNMC'!$K$7</f>
        <v>2.2599999999999999E-2</v>
      </c>
      <c r="AJ33" s="123">
        <f t="shared" si="4"/>
        <v>191097.50201450445</v>
      </c>
      <c r="AK33" s="123">
        <f t="shared" si="5"/>
        <v>9040</v>
      </c>
      <c r="AL33" s="122">
        <f t="shared" si="28"/>
        <v>200137.50201450445</v>
      </c>
      <c r="AM33" s="98">
        <f>VLOOKUP(U33,'Peajes Circular CNMC'!$B$13:$J$23,7,FALSE)</f>
        <v>13.934166666666668</v>
      </c>
      <c r="AN33" s="87">
        <f>VLOOKUP(U33,'Peajes Circular CNMC'!$B$13:$J$23,8,FALSE)</f>
        <v>0</v>
      </c>
      <c r="AO33" s="87">
        <f>VLOOKUP(U33,'Peajes Circular CNMC'!$B$13:$J$23,9,FALSE)</f>
        <v>0.38700000000000001</v>
      </c>
      <c r="AP33" s="123">
        <f t="shared" si="6"/>
        <v>215580.9830781628</v>
      </c>
      <c r="AQ33" s="123">
        <f t="shared" si="29"/>
        <v>0</v>
      </c>
      <c r="AR33" s="123">
        <f t="shared" si="7"/>
        <v>154800</v>
      </c>
      <c r="AS33" s="122">
        <f t="shared" si="30"/>
        <v>370380.98307816277</v>
      </c>
      <c r="AT33" s="124">
        <f t="shared" si="31"/>
        <v>1521323.9178082193</v>
      </c>
      <c r="AU33" s="79">
        <f t="shared" si="8"/>
        <v>3.8033097945205485</v>
      </c>
      <c r="AW33" s="75">
        <f t="shared" si="9"/>
        <v>0.49462615126062798</v>
      </c>
      <c r="AX33" s="100">
        <f t="shared" si="10"/>
        <v>0.92763374201081583</v>
      </c>
      <c r="AY33" s="100">
        <f t="shared" si="11"/>
        <v>-0.41746064396034999</v>
      </c>
      <c r="AZ33" s="125">
        <f t="shared" si="12"/>
        <v>24300.549556809012</v>
      </c>
      <c r="BA33" s="100">
        <f t="shared" si="13"/>
        <v>1.6232578643841165E-2</v>
      </c>
      <c r="BB33" s="192">
        <f t="shared" si="14"/>
        <v>6.0751373892022897E-2</v>
      </c>
    </row>
    <row r="34" spans="1:54">
      <c r="B34" s="105">
        <v>450000</v>
      </c>
      <c r="C34" s="112">
        <f>IF($C$5&lt;&gt;"Memoria CNMC",$C$5,IF(B34&gt;'Tipología Clientes'!$C$16,'Tipología Clientes'!$L$16,IF(B34&gt;'Tipología Clientes'!$C$15,'Tipología Clientes'!$L$15,IF(B34&gt;'Tipología Clientes'!$C$14,'Tipología Clientes'!$L$14,IF(B34&gt;'Tipología Clientes'!$C$13,'Tipología Clientes'!$L$13,IF(B34&gt;'Tipología Clientes'!$C$12,'Tipología Clientes'!$L$12,IF(B34&gt;'Tipología Clientes'!$C$11,'Tipología Clientes'!$L$11,IF(B34&gt;'Tipología Clientes'!$C$10,'Tipología Clientes'!$L$10,IF(B34&gt;'Tipología Clientes'!$C$9,'Tipología Clientes'!$L$9,IF(B34&gt;'Tipología Clientes'!$C$8,'Tipología Clientes'!$L$8,IF(B34&gt;'Tipología Clientes'!$C$7,'Tipología Clientes'!$L$7,'Tipología Clientes'!$L$6)))))))))))</f>
        <v>0.85</v>
      </c>
      <c r="D34" s="113">
        <f t="shared" si="32"/>
        <v>1450.4431909750201</v>
      </c>
      <c r="E34" s="76" t="str">
        <f>IF(B34&gt;'Peajes Actuales'!$C$21,'Peajes Actuales'!$B$21,IF(B34&gt;'Peajes Actuales'!$C$20,'Peajes Actuales'!$B$20,IF(B34&gt;'Peajes Actuales'!$C$19,'Peajes Actuales'!$B$19,IF(B34&gt;'Peajes Actuales'!$C$18,'Peajes Actuales'!$B$18,IF(B34&gt;'Peajes Actuales'!$C$17,'Peajes Actuales'!$B$17,'Peajes Actuales'!$B$16)))))</f>
        <v>2.5</v>
      </c>
      <c r="F34" s="88">
        <f>'Peajes Actuales'!$H$29</f>
        <v>19.612000000000002</v>
      </c>
      <c r="G34" s="88">
        <f>'Peajes Actuales'!$I$29</f>
        <v>0.11599999999999999</v>
      </c>
      <c r="H34" s="123">
        <f t="shared" si="33"/>
        <v>341353.10233682516</v>
      </c>
      <c r="I34" s="123">
        <f t="shared" si="34"/>
        <v>52200</v>
      </c>
      <c r="J34" s="122">
        <f t="shared" si="35"/>
        <v>393553.10233682516</v>
      </c>
      <c r="K34" s="89">
        <f>'Peajes Actuales'!$I$5</f>
        <v>10.848000000000001</v>
      </c>
      <c r="L34" s="122">
        <f t="shared" si="36"/>
        <v>188812.89282836425</v>
      </c>
      <c r="M34" s="90">
        <f>VLOOKUP(E34,'Peajes Actuales'!$B$16:$J$21,7,FALSE)</f>
        <v>37.887</v>
      </c>
      <c r="N34" s="90">
        <f>VLOOKUP(E34,'Peajes Actuales'!$B$16:$J$21,9,FALSE)</f>
        <v>0.98299999999999998</v>
      </c>
      <c r="O34" s="123">
        <f t="shared" si="37"/>
        <v>659435.29411764699</v>
      </c>
      <c r="P34" s="123">
        <f t="shared" si="38"/>
        <v>442350</v>
      </c>
      <c r="Q34" s="122">
        <f t="shared" si="39"/>
        <v>1101785.294117647</v>
      </c>
      <c r="R34" s="124">
        <f t="shared" si="40"/>
        <v>1684151.2892828365</v>
      </c>
      <c r="S34" s="79">
        <f t="shared" si="41"/>
        <v>3.7425584206285256</v>
      </c>
      <c r="U34" s="76" t="str">
        <f>IF(B34&gt;'Peajes Circular CNMC'!$C$23,'Peajes Circular CNMC'!$B$23,IF(B34&gt;'Peajes Circular CNMC'!$C$22,'Peajes Circular CNMC'!$B$22,IF(B34&gt;'Peajes Circular CNMC'!$C$21,'Peajes Circular CNMC'!$B$21,IF(B34&gt;'Peajes Circular CNMC'!$C$20,'Peajes Circular CNMC'!$B$20,IF(B34&gt;'Peajes Circular CNMC'!$C$19,'Peajes Circular CNMC'!$B$19,IF(B34&gt;'Peajes Circular CNMC'!$C$18,'Peajes Circular CNMC'!$B$18,IF(B34&gt;'Peajes Circular CNMC'!$C$17,'Peajes Circular CNMC'!$B$17,IF(B34&gt;'Peajes Circular CNMC'!$C$16,'Peajes Circular CNMC'!$B$16,IF(B34&gt;'Peajes Circular CNMC'!$C$15,'Peajes Circular CNMC'!$B$15,IF(B34&gt;'Peajes Circular CNMC'!$C$14,'Peajes Circular CNMC'!$B$14,'Peajes Circular CNMC'!$B$13))))))))))</f>
        <v>D.10</v>
      </c>
      <c r="V34" s="96">
        <f>'Peajes Circular CNMC'!$H$30</f>
        <v>29.867609999999999</v>
      </c>
      <c r="W34" s="88">
        <f>'Peajes Circular CNMC'!$I$30</f>
        <v>0.15190999999999999</v>
      </c>
      <c r="X34" s="123">
        <f t="shared" si="0"/>
        <v>519855.25866236904</v>
      </c>
      <c r="Y34" s="123">
        <f t="shared" si="1"/>
        <v>68359.5</v>
      </c>
      <c r="Z34" s="122">
        <f t="shared" si="25"/>
        <v>588214.7586623691</v>
      </c>
      <c r="AA34" s="88">
        <f>'Peajes Circular CNMC'!$H$35</f>
        <v>0.26106499999999999</v>
      </c>
      <c r="AB34" s="122">
        <f t="shared" si="26"/>
        <v>117479.25</v>
      </c>
      <c r="AC34" s="97">
        <f>'Peajes Circular CNMC'!$J$6</f>
        <v>20.326666666666664</v>
      </c>
      <c r="AD34" s="97">
        <f>'Peajes Circular CNMC'!$J$7</f>
        <v>2.2599999999999999E-2</v>
      </c>
      <c r="AE34" s="123">
        <f t="shared" si="2"/>
        <v>353792.10314262687</v>
      </c>
      <c r="AF34" s="123">
        <f t="shared" si="3"/>
        <v>10170</v>
      </c>
      <c r="AG34" s="122">
        <f t="shared" si="27"/>
        <v>363962.10314262687</v>
      </c>
      <c r="AH34" s="97">
        <f>'Peajes Circular CNMC'!$K$6</f>
        <v>12.351666666666667</v>
      </c>
      <c r="AI34" s="97">
        <f>'Peajes Circular CNMC'!$K$7</f>
        <v>2.2599999999999999E-2</v>
      </c>
      <c r="AJ34" s="123">
        <f t="shared" si="4"/>
        <v>214984.68976631749</v>
      </c>
      <c r="AK34" s="123">
        <f t="shared" si="5"/>
        <v>10170</v>
      </c>
      <c r="AL34" s="122">
        <f t="shared" si="28"/>
        <v>225154.68976631749</v>
      </c>
      <c r="AM34" s="98">
        <f>VLOOKUP(U34,'Peajes Circular CNMC'!$B$13:$J$23,7,FALSE)</f>
        <v>13.934166666666668</v>
      </c>
      <c r="AN34" s="87">
        <f>VLOOKUP(U34,'Peajes Circular CNMC'!$B$13:$J$23,8,FALSE)</f>
        <v>0</v>
      </c>
      <c r="AO34" s="87">
        <f>VLOOKUP(U34,'Peajes Circular CNMC'!$B$13:$J$23,9,FALSE)</f>
        <v>0.38700000000000001</v>
      </c>
      <c r="AP34" s="123">
        <f t="shared" si="6"/>
        <v>242528.60596293313</v>
      </c>
      <c r="AQ34" s="123">
        <f t="shared" si="29"/>
        <v>0</v>
      </c>
      <c r="AR34" s="123">
        <f t="shared" si="7"/>
        <v>174150</v>
      </c>
      <c r="AS34" s="122">
        <f t="shared" si="30"/>
        <v>416678.60596293316</v>
      </c>
      <c r="AT34" s="124">
        <f t="shared" si="31"/>
        <v>1711489.4075342463</v>
      </c>
      <c r="AU34" s="79">
        <f t="shared" si="8"/>
        <v>3.8033097945205476</v>
      </c>
      <c r="AW34" s="75">
        <f t="shared" si="9"/>
        <v>0.49462615126062814</v>
      </c>
      <c r="AX34" s="100">
        <f t="shared" si="10"/>
        <v>0.92763374201081572</v>
      </c>
      <c r="AY34" s="100">
        <f t="shared" si="11"/>
        <v>-0.41746064396034982</v>
      </c>
      <c r="AZ34" s="125">
        <f t="shared" si="12"/>
        <v>27338.118251409847</v>
      </c>
      <c r="BA34" s="100">
        <f t="shared" si="13"/>
        <v>1.6232578643840995E-2</v>
      </c>
      <c r="BB34" s="192">
        <f t="shared" si="14"/>
        <v>6.0751373892022009E-2</v>
      </c>
    </row>
    <row r="35" spans="1:54">
      <c r="B35" s="105">
        <v>500000</v>
      </c>
      <c r="C35" s="112">
        <f>IF($C$5&lt;&gt;"Memoria CNMC",$C$5,IF(B35&gt;'Tipología Clientes'!$C$16,'Tipología Clientes'!$L$16,IF(B35&gt;'Tipología Clientes'!$C$15,'Tipología Clientes'!$L$15,IF(B35&gt;'Tipología Clientes'!$C$14,'Tipología Clientes'!$L$14,IF(B35&gt;'Tipología Clientes'!$C$13,'Tipología Clientes'!$L$13,IF(B35&gt;'Tipología Clientes'!$C$12,'Tipología Clientes'!$L$12,IF(B35&gt;'Tipología Clientes'!$C$11,'Tipología Clientes'!$L$11,IF(B35&gt;'Tipología Clientes'!$C$10,'Tipología Clientes'!$L$10,IF(B35&gt;'Tipología Clientes'!$C$9,'Tipología Clientes'!$L$9,IF(B35&gt;'Tipología Clientes'!$C$8,'Tipología Clientes'!$L$8,IF(B35&gt;'Tipología Clientes'!$C$7,'Tipología Clientes'!$L$7,'Tipología Clientes'!$L$6)))))))))))</f>
        <v>0.85</v>
      </c>
      <c r="D35" s="113">
        <f t="shared" si="32"/>
        <v>1611.6035455278002</v>
      </c>
      <c r="E35" s="76" t="str">
        <f>IF(B35&gt;'Peajes Actuales'!$C$21,'Peajes Actuales'!$B$21,IF(B35&gt;'Peajes Actuales'!$C$20,'Peajes Actuales'!$B$20,IF(B35&gt;'Peajes Actuales'!$C$19,'Peajes Actuales'!$B$19,IF(B35&gt;'Peajes Actuales'!$C$18,'Peajes Actuales'!$B$18,IF(B35&gt;'Peajes Actuales'!$C$17,'Peajes Actuales'!$B$17,'Peajes Actuales'!$B$16)))))</f>
        <v>2.5</v>
      </c>
      <c r="F35" s="88">
        <f>'Peajes Actuales'!$H$29</f>
        <v>19.612000000000002</v>
      </c>
      <c r="G35" s="88">
        <f>'Peajes Actuales'!$I$29</f>
        <v>0.11599999999999999</v>
      </c>
      <c r="H35" s="123">
        <f t="shared" si="33"/>
        <v>379281.22481869464</v>
      </c>
      <c r="I35" s="123">
        <f t="shared" si="34"/>
        <v>57999.999999999993</v>
      </c>
      <c r="J35" s="122">
        <f t="shared" si="35"/>
        <v>437281.22481869464</v>
      </c>
      <c r="K35" s="89">
        <f>'Peajes Actuales'!$I$5</f>
        <v>10.848000000000001</v>
      </c>
      <c r="L35" s="122">
        <f t="shared" si="36"/>
        <v>209792.10314262693</v>
      </c>
      <c r="M35" s="90">
        <f>VLOOKUP(E35,'Peajes Actuales'!$B$16:$J$21,7,FALSE)</f>
        <v>37.887</v>
      </c>
      <c r="N35" s="90">
        <f>VLOOKUP(E35,'Peajes Actuales'!$B$16:$J$21,9,FALSE)</f>
        <v>0.98299999999999998</v>
      </c>
      <c r="O35" s="123">
        <f t="shared" si="37"/>
        <v>732705.8823529412</v>
      </c>
      <c r="P35" s="123">
        <f t="shared" si="38"/>
        <v>491500</v>
      </c>
      <c r="Q35" s="122">
        <f t="shared" si="39"/>
        <v>1224205.8823529412</v>
      </c>
      <c r="R35" s="124">
        <f t="shared" si="40"/>
        <v>1871279.2103142627</v>
      </c>
      <c r="S35" s="79">
        <f t="shared" si="41"/>
        <v>3.7425584206285252</v>
      </c>
      <c r="U35" s="76" t="str">
        <f>IF(B35&gt;'Peajes Circular CNMC'!$C$23,'Peajes Circular CNMC'!$B$23,IF(B35&gt;'Peajes Circular CNMC'!$C$22,'Peajes Circular CNMC'!$B$22,IF(B35&gt;'Peajes Circular CNMC'!$C$21,'Peajes Circular CNMC'!$B$21,IF(B35&gt;'Peajes Circular CNMC'!$C$20,'Peajes Circular CNMC'!$B$20,IF(B35&gt;'Peajes Circular CNMC'!$C$19,'Peajes Circular CNMC'!$B$19,IF(B35&gt;'Peajes Circular CNMC'!$C$18,'Peajes Circular CNMC'!$B$18,IF(B35&gt;'Peajes Circular CNMC'!$C$17,'Peajes Circular CNMC'!$B$17,IF(B35&gt;'Peajes Circular CNMC'!$C$16,'Peajes Circular CNMC'!$B$16,IF(B35&gt;'Peajes Circular CNMC'!$C$15,'Peajes Circular CNMC'!$B$15,IF(B35&gt;'Peajes Circular CNMC'!$C$14,'Peajes Circular CNMC'!$B$14,'Peajes Circular CNMC'!$B$13))))))))))</f>
        <v>D.10</v>
      </c>
      <c r="V35" s="96">
        <f>'Peajes Circular CNMC'!$H$30</f>
        <v>29.867609999999999</v>
      </c>
      <c r="W35" s="88">
        <f>'Peajes Circular CNMC'!$I$30</f>
        <v>0.15190999999999999</v>
      </c>
      <c r="X35" s="123">
        <f t="shared" si="0"/>
        <v>577616.95406929892</v>
      </c>
      <c r="Y35" s="123">
        <f t="shared" si="1"/>
        <v>75955</v>
      </c>
      <c r="Z35" s="122">
        <f t="shared" si="25"/>
        <v>653571.95406929892</v>
      </c>
      <c r="AA35" s="88">
        <f>'Peajes Circular CNMC'!$H$35</f>
        <v>0.26106499999999999</v>
      </c>
      <c r="AB35" s="122">
        <f t="shared" si="26"/>
        <v>130532.5</v>
      </c>
      <c r="AC35" s="97">
        <f>'Peajes Circular CNMC'!$J$6</f>
        <v>20.326666666666664</v>
      </c>
      <c r="AD35" s="97">
        <f>'Peajes Circular CNMC'!$J$7</f>
        <v>2.2599999999999999E-2</v>
      </c>
      <c r="AE35" s="123">
        <f t="shared" si="2"/>
        <v>393102.33682514093</v>
      </c>
      <c r="AF35" s="123">
        <f t="shared" si="3"/>
        <v>11300</v>
      </c>
      <c r="AG35" s="122">
        <f t="shared" si="27"/>
        <v>404402.33682514093</v>
      </c>
      <c r="AH35" s="97">
        <f>'Peajes Circular CNMC'!$K$6</f>
        <v>12.351666666666667</v>
      </c>
      <c r="AI35" s="97">
        <f>'Peajes Circular CNMC'!$K$7</f>
        <v>2.2599999999999999E-2</v>
      </c>
      <c r="AJ35" s="123">
        <f t="shared" si="4"/>
        <v>238871.87751813055</v>
      </c>
      <c r="AK35" s="123">
        <f t="shared" si="5"/>
        <v>11300</v>
      </c>
      <c r="AL35" s="122">
        <f t="shared" si="28"/>
        <v>250171.87751813055</v>
      </c>
      <c r="AM35" s="98">
        <f>VLOOKUP(U35,'Peajes Circular CNMC'!$B$13:$J$23,7,FALSE)</f>
        <v>13.934166666666668</v>
      </c>
      <c r="AN35" s="87">
        <f>VLOOKUP(U35,'Peajes Circular CNMC'!$B$13:$J$23,8,FALSE)</f>
        <v>0</v>
      </c>
      <c r="AO35" s="87">
        <f>VLOOKUP(U35,'Peajes Circular CNMC'!$B$13:$J$23,9,FALSE)</f>
        <v>0.38700000000000001</v>
      </c>
      <c r="AP35" s="123">
        <f t="shared" si="6"/>
        <v>269476.22884770349</v>
      </c>
      <c r="AQ35" s="123">
        <f t="shared" si="29"/>
        <v>0</v>
      </c>
      <c r="AR35" s="123">
        <f t="shared" si="7"/>
        <v>193500</v>
      </c>
      <c r="AS35" s="122">
        <f t="shared" si="30"/>
        <v>462976.22884770349</v>
      </c>
      <c r="AT35" s="124">
        <f t="shared" si="31"/>
        <v>1901654.8972602738</v>
      </c>
      <c r="AU35" s="79">
        <f t="shared" si="8"/>
        <v>3.8033097945205476</v>
      </c>
      <c r="AW35" s="75">
        <f t="shared" si="9"/>
        <v>0.49462615126062792</v>
      </c>
      <c r="AX35" s="100">
        <f t="shared" si="10"/>
        <v>0.9276337420108155</v>
      </c>
      <c r="AY35" s="100">
        <f t="shared" si="11"/>
        <v>-0.41746064396034993</v>
      </c>
      <c r="AZ35" s="125">
        <f t="shared" si="12"/>
        <v>30375.686946011148</v>
      </c>
      <c r="BA35" s="100">
        <f t="shared" si="13"/>
        <v>1.6232578643841106E-2</v>
      </c>
      <c r="BB35" s="192">
        <f t="shared" si="14"/>
        <v>6.0751373892022453E-2</v>
      </c>
    </row>
    <row r="36" spans="1:54">
      <c r="B36" s="105">
        <v>700000</v>
      </c>
      <c r="C36" s="112">
        <f>IF($C$5&lt;&gt;"Memoria CNMC",$C$5,IF(B36&gt;'Tipología Clientes'!$C$16,'Tipología Clientes'!$L$16,IF(B36&gt;'Tipología Clientes'!$C$15,'Tipología Clientes'!$L$15,IF(B36&gt;'Tipología Clientes'!$C$14,'Tipología Clientes'!$L$14,IF(B36&gt;'Tipología Clientes'!$C$13,'Tipología Clientes'!$L$13,IF(B36&gt;'Tipología Clientes'!$C$12,'Tipología Clientes'!$L$12,IF(B36&gt;'Tipología Clientes'!$C$11,'Tipología Clientes'!$L$11,IF(B36&gt;'Tipología Clientes'!$C$10,'Tipología Clientes'!$L$10,IF(B36&gt;'Tipología Clientes'!$C$9,'Tipología Clientes'!$L$9,IF(B36&gt;'Tipología Clientes'!$C$8,'Tipología Clientes'!$L$8,IF(B36&gt;'Tipología Clientes'!$C$7,'Tipología Clientes'!$L$7,'Tipología Clientes'!$L$6)))))))))))</f>
        <v>0.85</v>
      </c>
      <c r="D36" s="113">
        <f t="shared" si="32"/>
        <v>2256.2449637389204</v>
      </c>
      <c r="E36" s="76" t="str">
        <f>IF(B36&gt;'Peajes Actuales'!$C$21,'Peajes Actuales'!$B$21,IF(B36&gt;'Peajes Actuales'!$C$20,'Peajes Actuales'!$B$20,IF(B36&gt;'Peajes Actuales'!$C$19,'Peajes Actuales'!$B$19,IF(B36&gt;'Peajes Actuales'!$C$18,'Peajes Actuales'!$B$18,IF(B36&gt;'Peajes Actuales'!$C$17,'Peajes Actuales'!$B$17,'Peajes Actuales'!$B$16)))))</f>
        <v>2.6</v>
      </c>
      <c r="F36" s="88">
        <f>'Peajes Actuales'!$H$29</f>
        <v>19.612000000000002</v>
      </c>
      <c r="G36" s="88">
        <f>'Peajes Actuales'!$I$29</f>
        <v>0.11599999999999999</v>
      </c>
      <c r="H36" s="123">
        <f t="shared" si="33"/>
        <v>530993.71474617254</v>
      </c>
      <c r="I36" s="123">
        <f t="shared" si="34"/>
        <v>81200</v>
      </c>
      <c r="J36" s="122">
        <f t="shared" si="35"/>
        <v>612193.71474617254</v>
      </c>
      <c r="K36" s="89">
        <f>'Peajes Actuales'!$I$5</f>
        <v>10.848000000000001</v>
      </c>
      <c r="L36" s="122">
        <f t="shared" si="36"/>
        <v>293708.94439967774</v>
      </c>
      <c r="M36" s="90">
        <f>VLOOKUP(E36,'Peajes Actuales'!$B$16:$J$21,7,FALSE)</f>
        <v>34.847999999999999</v>
      </c>
      <c r="N36" s="90">
        <f>VLOOKUP(E36,'Peajes Actuales'!$B$16:$J$21,9,FALSE)</f>
        <v>0.85199999999999998</v>
      </c>
      <c r="O36" s="123">
        <f t="shared" si="37"/>
        <v>943507.49395648681</v>
      </c>
      <c r="P36" s="123">
        <f t="shared" si="38"/>
        <v>596400</v>
      </c>
      <c r="Q36" s="122">
        <f t="shared" si="39"/>
        <v>1539907.4939564867</v>
      </c>
      <c r="R36" s="124">
        <f t="shared" si="40"/>
        <v>2445810.1531023369</v>
      </c>
      <c r="S36" s="79">
        <f t="shared" si="41"/>
        <v>3.49401450443191</v>
      </c>
      <c r="U36" s="76" t="str">
        <f>IF(B36&gt;'Peajes Circular CNMC'!$C$23,'Peajes Circular CNMC'!$B$23,IF(B36&gt;'Peajes Circular CNMC'!$C$22,'Peajes Circular CNMC'!$B$22,IF(B36&gt;'Peajes Circular CNMC'!$C$21,'Peajes Circular CNMC'!$B$21,IF(B36&gt;'Peajes Circular CNMC'!$C$20,'Peajes Circular CNMC'!$B$20,IF(B36&gt;'Peajes Circular CNMC'!$C$19,'Peajes Circular CNMC'!$B$19,IF(B36&gt;'Peajes Circular CNMC'!$C$18,'Peajes Circular CNMC'!$B$18,IF(B36&gt;'Peajes Circular CNMC'!$C$17,'Peajes Circular CNMC'!$B$17,IF(B36&gt;'Peajes Circular CNMC'!$C$16,'Peajes Circular CNMC'!$B$16,IF(B36&gt;'Peajes Circular CNMC'!$C$15,'Peajes Circular CNMC'!$B$15,IF(B36&gt;'Peajes Circular CNMC'!$C$14,'Peajes Circular CNMC'!$B$14,'Peajes Circular CNMC'!$B$13))))))))))</f>
        <v>D.11</v>
      </c>
      <c r="V36" s="96">
        <f>'Peajes Circular CNMC'!$H$30</f>
        <v>29.867609999999999</v>
      </c>
      <c r="W36" s="88">
        <f>'Peajes Circular CNMC'!$I$30</f>
        <v>0.15190999999999999</v>
      </c>
      <c r="X36" s="123">
        <f t="shared" si="0"/>
        <v>808663.73569701856</v>
      </c>
      <c r="Y36" s="123">
        <f t="shared" si="1"/>
        <v>106336.99999999999</v>
      </c>
      <c r="Z36" s="122">
        <f t="shared" ref="Z36:Z39" si="47">X36+Y36</f>
        <v>915000.73569701856</v>
      </c>
      <c r="AA36" s="88">
        <f>'Peajes Circular CNMC'!$H$35</f>
        <v>0.26106499999999999</v>
      </c>
      <c r="AB36" s="122">
        <f t="shared" si="26"/>
        <v>182745.5</v>
      </c>
      <c r="AC36" s="97">
        <f>'Peajes Circular CNMC'!$J$6</f>
        <v>20.326666666666664</v>
      </c>
      <c r="AD36" s="97">
        <f>'Peajes Circular CNMC'!$J$7</f>
        <v>2.2599999999999999E-2</v>
      </c>
      <c r="AE36" s="123">
        <f t="shared" si="2"/>
        <v>550343.27155519743</v>
      </c>
      <c r="AF36" s="123">
        <f t="shared" si="3"/>
        <v>15819.999999999998</v>
      </c>
      <c r="AG36" s="122">
        <f t="shared" ref="AG36:AG39" si="48">AE36+AF36</f>
        <v>566163.27155519743</v>
      </c>
      <c r="AH36" s="97">
        <f>'Peajes Circular CNMC'!$K$6</f>
        <v>12.351666666666667</v>
      </c>
      <c r="AI36" s="97">
        <f>'Peajes Circular CNMC'!$K$7</f>
        <v>2.2599999999999999E-2</v>
      </c>
      <c r="AJ36" s="123">
        <f t="shared" si="4"/>
        <v>334420.62852538278</v>
      </c>
      <c r="AK36" s="123">
        <f t="shared" si="5"/>
        <v>15819.999999999998</v>
      </c>
      <c r="AL36" s="122">
        <f t="shared" ref="AL36:AL39" si="49">AJ36+AK36</f>
        <v>350240.62852538278</v>
      </c>
      <c r="AM36" s="98">
        <f>VLOOKUP(U36,'Peajes Circular CNMC'!$B$13:$J$23,7,FALSE)</f>
        <v>9.9058333333333337</v>
      </c>
      <c r="AN36" s="87">
        <f>VLOOKUP(U36,'Peajes Circular CNMC'!$B$13:$J$23,8,FALSE)</f>
        <v>0</v>
      </c>
      <c r="AO36" s="87">
        <f>VLOOKUP(U36,'Peajes Circular CNMC'!$B$13:$J$23,9,FALSE)</f>
        <v>9.0999999999999998E-2</v>
      </c>
      <c r="AP36" s="123">
        <f t="shared" si="6"/>
        <v>268199.8388396455</v>
      </c>
      <c r="AQ36" s="123">
        <f t="shared" ref="AQ36:AQ39" si="50">12*AN36</f>
        <v>0</v>
      </c>
      <c r="AR36" s="123">
        <f t="shared" si="7"/>
        <v>63700</v>
      </c>
      <c r="AS36" s="122">
        <f t="shared" ref="AS36:AS39" si="51">AP36+AQ36+AR36</f>
        <v>331899.8388396455</v>
      </c>
      <c r="AT36" s="124">
        <f t="shared" si="31"/>
        <v>2346049.9746172442</v>
      </c>
      <c r="AU36" s="79">
        <f t="shared" si="8"/>
        <v>3.3514999637389202</v>
      </c>
      <c r="AW36" s="75">
        <f t="shared" si="9"/>
        <v>0.49462615126062792</v>
      </c>
      <c r="AX36" s="100">
        <f t="shared" si="10"/>
        <v>0.92763374201081572</v>
      </c>
      <c r="AY36" s="100">
        <f t="shared" si="11"/>
        <v>-0.55702503556729643</v>
      </c>
      <c r="AZ36" s="125">
        <f t="shared" si="12"/>
        <v>-99760.178485092707</v>
      </c>
      <c r="BA36" s="100">
        <f t="shared" si="13"/>
        <v>-4.0788193784605069E-2</v>
      </c>
      <c r="BB36" s="192">
        <f t="shared" si="14"/>
        <v>-0.14251454069298974</v>
      </c>
    </row>
    <row r="37" spans="1:54">
      <c r="B37" s="105">
        <v>900000</v>
      </c>
      <c r="C37" s="112">
        <f>IF($C$5&lt;&gt;"Memoria CNMC",$C$5,IF(B37&gt;'Tipología Clientes'!$C$16,'Tipología Clientes'!$L$16,IF(B37&gt;'Tipología Clientes'!$C$15,'Tipología Clientes'!$L$15,IF(B37&gt;'Tipología Clientes'!$C$14,'Tipología Clientes'!$L$14,IF(B37&gt;'Tipología Clientes'!$C$13,'Tipología Clientes'!$L$13,IF(B37&gt;'Tipología Clientes'!$C$12,'Tipología Clientes'!$L$12,IF(B37&gt;'Tipología Clientes'!$C$11,'Tipología Clientes'!$L$11,IF(B37&gt;'Tipología Clientes'!$C$10,'Tipología Clientes'!$L$10,IF(B37&gt;'Tipología Clientes'!$C$9,'Tipología Clientes'!$L$9,IF(B37&gt;'Tipología Clientes'!$C$8,'Tipología Clientes'!$L$8,IF(B37&gt;'Tipología Clientes'!$C$7,'Tipología Clientes'!$L$7,'Tipología Clientes'!$L$6)))))))))))</f>
        <v>0.85</v>
      </c>
      <c r="D37" s="113">
        <f t="shared" si="32"/>
        <v>2900.8863819500402</v>
      </c>
      <c r="E37" s="76" t="str">
        <f>IF(B37&gt;'Peajes Actuales'!$C$21,'Peajes Actuales'!$B$21,IF(B37&gt;'Peajes Actuales'!$C$20,'Peajes Actuales'!$B$20,IF(B37&gt;'Peajes Actuales'!$C$19,'Peajes Actuales'!$B$19,IF(B37&gt;'Peajes Actuales'!$C$18,'Peajes Actuales'!$B$18,IF(B37&gt;'Peajes Actuales'!$C$17,'Peajes Actuales'!$B$17,'Peajes Actuales'!$B$16)))))</f>
        <v>2.6</v>
      </c>
      <c r="F37" s="88">
        <f>'Peajes Actuales'!$H$29</f>
        <v>19.612000000000002</v>
      </c>
      <c r="G37" s="88">
        <f>'Peajes Actuales'!$I$29</f>
        <v>0.11599999999999999</v>
      </c>
      <c r="H37" s="123">
        <f t="shared" si="33"/>
        <v>682706.20467365033</v>
      </c>
      <c r="I37" s="123">
        <f t="shared" si="34"/>
        <v>104400</v>
      </c>
      <c r="J37" s="122">
        <f t="shared" si="35"/>
        <v>787106.20467365033</v>
      </c>
      <c r="K37" s="89">
        <f>'Peajes Actuales'!$I$5</f>
        <v>10.848000000000001</v>
      </c>
      <c r="L37" s="122">
        <f t="shared" si="36"/>
        <v>377625.78565672849</v>
      </c>
      <c r="M37" s="90">
        <f>VLOOKUP(E37,'Peajes Actuales'!$B$16:$J$21,7,FALSE)</f>
        <v>34.847999999999999</v>
      </c>
      <c r="N37" s="90">
        <f>VLOOKUP(E37,'Peajes Actuales'!$B$16:$J$21,9,FALSE)</f>
        <v>0.85199999999999998</v>
      </c>
      <c r="O37" s="123">
        <f t="shared" si="37"/>
        <v>1213081.0636583399</v>
      </c>
      <c r="P37" s="123">
        <f t="shared" si="38"/>
        <v>766800</v>
      </c>
      <c r="Q37" s="122">
        <f t="shared" si="39"/>
        <v>1979881.0636583399</v>
      </c>
      <c r="R37" s="124">
        <f t="shared" si="40"/>
        <v>3144613.0539887184</v>
      </c>
      <c r="S37" s="79">
        <f t="shared" si="41"/>
        <v>3.4940145044319095</v>
      </c>
      <c r="U37" s="76" t="str">
        <f>IF(B37&gt;'Peajes Circular CNMC'!$C$23,'Peajes Circular CNMC'!$B$23,IF(B37&gt;'Peajes Circular CNMC'!$C$22,'Peajes Circular CNMC'!$B$22,IF(B37&gt;'Peajes Circular CNMC'!$C$21,'Peajes Circular CNMC'!$B$21,IF(B37&gt;'Peajes Circular CNMC'!$C$20,'Peajes Circular CNMC'!$B$20,IF(B37&gt;'Peajes Circular CNMC'!$C$19,'Peajes Circular CNMC'!$B$19,IF(B37&gt;'Peajes Circular CNMC'!$C$18,'Peajes Circular CNMC'!$B$18,IF(B37&gt;'Peajes Circular CNMC'!$C$17,'Peajes Circular CNMC'!$B$17,IF(B37&gt;'Peajes Circular CNMC'!$C$16,'Peajes Circular CNMC'!$B$16,IF(B37&gt;'Peajes Circular CNMC'!$C$15,'Peajes Circular CNMC'!$B$15,IF(B37&gt;'Peajes Circular CNMC'!$C$14,'Peajes Circular CNMC'!$B$14,'Peajes Circular CNMC'!$B$13))))))))))</f>
        <v>D.11</v>
      </c>
      <c r="V37" s="96">
        <f>'Peajes Circular CNMC'!$H$30</f>
        <v>29.867609999999999</v>
      </c>
      <c r="W37" s="88">
        <f>'Peajes Circular CNMC'!$I$30</f>
        <v>0.15190999999999999</v>
      </c>
      <c r="X37" s="123">
        <f t="shared" si="0"/>
        <v>1039710.5173247381</v>
      </c>
      <c r="Y37" s="123">
        <f t="shared" si="1"/>
        <v>136719</v>
      </c>
      <c r="Z37" s="122">
        <f t="shared" si="47"/>
        <v>1176429.5173247382</v>
      </c>
      <c r="AA37" s="88">
        <f>'Peajes Circular CNMC'!$H$35</f>
        <v>0.26106499999999999</v>
      </c>
      <c r="AB37" s="122">
        <f t="shared" si="26"/>
        <v>234958.5</v>
      </c>
      <c r="AC37" s="97">
        <f>'Peajes Circular CNMC'!$J$6</f>
        <v>20.326666666666664</v>
      </c>
      <c r="AD37" s="97">
        <f>'Peajes Circular CNMC'!$J$7</f>
        <v>2.2599999999999999E-2</v>
      </c>
      <c r="AE37" s="123">
        <f t="shared" si="2"/>
        <v>707584.20628525375</v>
      </c>
      <c r="AF37" s="123">
        <f t="shared" si="3"/>
        <v>20340</v>
      </c>
      <c r="AG37" s="122">
        <f t="shared" si="48"/>
        <v>727924.20628525375</v>
      </c>
      <c r="AH37" s="97">
        <f>'Peajes Circular CNMC'!$K$6</f>
        <v>12.351666666666667</v>
      </c>
      <c r="AI37" s="97">
        <f>'Peajes Circular CNMC'!$K$7</f>
        <v>2.2599999999999999E-2</v>
      </c>
      <c r="AJ37" s="123">
        <f t="shared" si="4"/>
        <v>429969.37953263498</v>
      </c>
      <c r="AK37" s="123">
        <f t="shared" si="5"/>
        <v>20340</v>
      </c>
      <c r="AL37" s="122">
        <f t="shared" si="49"/>
        <v>450309.37953263498</v>
      </c>
      <c r="AM37" s="98">
        <f>VLOOKUP(U37,'Peajes Circular CNMC'!$B$13:$J$23,7,FALSE)</f>
        <v>9.9058333333333337</v>
      </c>
      <c r="AN37" s="87">
        <f>VLOOKUP(U37,'Peajes Circular CNMC'!$B$13:$J$23,8,FALSE)</f>
        <v>0</v>
      </c>
      <c r="AO37" s="87">
        <f>VLOOKUP(U37,'Peajes Circular CNMC'!$B$13:$J$23,9,FALSE)</f>
        <v>9.0999999999999998E-2</v>
      </c>
      <c r="AP37" s="123">
        <f t="shared" si="6"/>
        <v>344828.36422240129</v>
      </c>
      <c r="AQ37" s="123">
        <f t="shared" si="50"/>
        <v>0</v>
      </c>
      <c r="AR37" s="123">
        <f t="shared" si="7"/>
        <v>81900</v>
      </c>
      <c r="AS37" s="122">
        <f t="shared" si="51"/>
        <v>426728.36422240129</v>
      </c>
      <c r="AT37" s="124">
        <f t="shared" si="31"/>
        <v>3016349.9673650279</v>
      </c>
      <c r="AU37" s="79">
        <f t="shared" si="8"/>
        <v>3.3514999637389198</v>
      </c>
      <c r="AW37" s="75">
        <f t="shared" si="9"/>
        <v>0.49462615126062814</v>
      </c>
      <c r="AX37" s="100">
        <f t="shared" si="10"/>
        <v>0.92763374201081572</v>
      </c>
      <c r="AY37" s="100">
        <f t="shared" si="11"/>
        <v>-0.55702503556729654</v>
      </c>
      <c r="AZ37" s="125">
        <f t="shared" si="12"/>
        <v>-128263.08662369056</v>
      </c>
      <c r="BA37" s="100">
        <f t="shared" si="13"/>
        <v>-4.0788193784605055E-2</v>
      </c>
      <c r="BB37" s="192">
        <f t="shared" si="14"/>
        <v>-0.14251454069298974</v>
      </c>
    </row>
    <row r="38" spans="1:54">
      <c r="B38" s="105">
        <v>1000000</v>
      </c>
      <c r="C38" s="112">
        <f>IF($C$5&lt;&gt;"Memoria CNMC",$C$5,IF(B38&gt;'Tipología Clientes'!$C$16,'Tipología Clientes'!$L$16,IF(B38&gt;'Tipología Clientes'!$C$15,'Tipología Clientes'!$L$15,IF(B38&gt;'Tipología Clientes'!$C$14,'Tipología Clientes'!$L$14,IF(B38&gt;'Tipología Clientes'!$C$13,'Tipología Clientes'!$L$13,IF(B38&gt;'Tipología Clientes'!$C$12,'Tipología Clientes'!$L$12,IF(B38&gt;'Tipología Clientes'!$C$11,'Tipología Clientes'!$L$11,IF(B38&gt;'Tipología Clientes'!$C$10,'Tipología Clientes'!$L$10,IF(B38&gt;'Tipología Clientes'!$C$9,'Tipología Clientes'!$L$9,IF(B38&gt;'Tipología Clientes'!$C$8,'Tipología Clientes'!$L$8,IF(B38&gt;'Tipología Clientes'!$C$7,'Tipología Clientes'!$L$7,'Tipología Clientes'!$L$6)))))))))))</f>
        <v>0.85</v>
      </c>
      <c r="D38" s="113">
        <f t="shared" si="32"/>
        <v>3223.2070910556004</v>
      </c>
      <c r="E38" s="76" t="str">
        <f>IF(B38&gt;'Peajes Actuales'!$C$21,'Peajes Actuales'!$B$21,IF(B38&gt;'Peajes Actuales'!$C$20,'Peajes Actuales'!$B$20,IF(B38&gt;'Peajes Actuales'!$C$19,'Peajes Actuales'!$B$19,IF(B38&gt;'Peajes Actuales'!$C$18,'Peajes Actuales'!$B$18,IF(B38&gt;'Peajes Actuales'!$C$17,'Peajes Actuales'!$B$17,'Peajes Actuales'!$B$16)))))</f>
        <v>2.6</v>
      </c>
      <c r="F38" s="88">
        <f>'Peajes Actuales'!$H$29</f>
        <v>19.612000000000002</v>
      </c>
      <c r="G38" s="88">
        <f>'Peajes Actuales'!$I$29</f>
        <v>0.11599999999999999</v>
      </c>
      <c r="H38" s="123">
        <f t="shared" si="33"/>
        <v>758562.44963738928</v>
      </c>
      <c r="I38" s="123">
        <f t="shared" si="34"/>
        <v>115999.99999999999</v>
      </c>
      <c r="J38" s="122">
        <f t="shared" si="35"/>
        <v>874562.44963738928</v>
      </c>
      <c r="K38" s="89">
        <f>'Peajes Actuales'!$I$5</f>
        <v>10.848000000000001</v>
      </c>
      <c r="L38" s="122">
        <f t="shared" si="36"/>
        <v>419584.20628525387</v>
      </c>
      <c r="M38" s="90">
        <f>VLOOKUP(E38,'Peajes Actuales'!$B$16:$J$21,7,FALSE)</f>
        <v>34.847999999999999</v>
      </c>
      <c r="N38" s="90">
        <f>VLOOKUP(E38,'Peajes Actuales'!$B$16:$J$21,9,FALSE)</f>
        <v>0.85199999999999998</v>
      </c>
      <c r="O38" s="123">
        <f t="shared" si="37"/>
        <v>1347867.8485092665</v>
      </c>
      <c r="P38" s="123">
        <f t="shared" si="38"/>
        <v>852000</v>
      </c>
      <c r="Q38" s="122">
        <f t="shared" si="39"/>
        <v>2199867.8485092665</v>
      </c>
      <c r="R38" s="124">
        <f t="shared" si="40"/>
        <v>3494014.5044319099</v>
      </c>
      <c r="S38" s="79">
        <f t="shared" si="41"/>
        <v>3.49401450443191</v>
      </c>
      <c r="U38" s="76" t="str">
        <f>IF(B38&gt;'Peajes Circular CNMC'!$C$23,'Peajes Circular CNMC'!$B$23,IF(B38&gt;'Peajes Circular CNMC'!$C$22,'Peajes Circular CNMC'!$B$22,IF(B38&gt;'Peajes Circular CNMC'!$C$21,'Peajes Circular CNMC'!$B$21,IF(B38&gt;'Peajes Circular CNMC'!$C$20,'Peajes Circular CNMC'!$B$20,IF(B38&gt;'Peajes Circular CNMC'!$C$19,'Peajes Circular CNMC'!$B$19,IF(B38&gt;'Peajes Circular CNMC'!$C$18,'Peajes Circular CNMC'!$B$18,IF(B38&gt;'Peajes Circular CNMC'!$C$17,'Peajes Circular CNMC'!$B$17,IF(B38&gt;'Peajes Circular CNMC'!$C$16,'Peajes Circular CNMC'!$B$16,IF(B38&gt;'Peajes Circular CNMC'!$C$15,'Peajes Circular CNMC'!$B$15,IF(B38&gt;'Peajes Circular CNMC'!$C$14,'Peajes Circular CNMC'!$B$14,'Peajes Circular CNMC'!$B$13))))))))))</f>
        <v>D.11</v>
      </c>
      <c r="V38" s="96">
        <f>'Peajes Circular CNMC'!$H$30</f>
        <v>29.867609999999999</v>
      </c>
      <c r="W38" s="88">
        <f>'Peajes Circular CNMC'!$I$30</f>
        <v>0.15190999999999999</v>
      </c>
      <c r="X38" s="123">
        <f t="shared" si="0"/>
        <v>1155233.9081385978</v>
      </c>
      <c r="Y38" s="123">
        <f t="shared" si="1"/>
        <v>151910</v>
      </c>
      <c r="Z38" s="122">
        <f t="shared" si="47"/>
        <v>1307143.9081385978</v>
      </c>
      <c r="AA38" s="88">
        <f>'Peajes Circular CNMC'!$H$35</f>
        <v>0.26106499999999999</v>
      </c>
      <c r="AB38" s="122">
        <f t="shared" si="26"/>
        <v>261065</v>
      </c>
      <c r="AC38" s="97">
        <f>'Peajes Circular CNMC'!$J$6</f>
        <v>20.326666666666664</v>
      </c>
      <c r="AD38" s="97">
        <f>'Peajes Circular CNMC'!$J$7</f>
        <v>2.2599999999999999E-2</v>
      </c>
      <c r="AE38" s="123">
        <f t="shared" si="2"/>
        <v>786204.67365028185</v>
      </c>
      <c r="AF38" s="123">
        <f t="shared" si="3"/>
        <v>22600</v>
      </c>
      <c r="AG38" s="122">
        <f t="shared" si="48"/>
        <v>808804.67365028185</v>
      </c>
      <c r="AH38" s="97">
        <f>'Peajes Circular CNMC'!$K$6</f>
        <v>12.351666666666667</v>
      </c>
      <c r="AI38" s="97">
        <f>'Peajes Circular CNMC'!$K$7</f>
        <v>2.2599999999999999E-2</v>
      </c>
      <c r="AJ38" s="123">
        <f t="shared" si="4"/>
        <v>477743.75503626111</v>
      </c>
      <c r="AK38" s="123">
        <f t="shared" si="5"/>
        <v>22600</v>
      </c>
      <c r="AL38" s="122">
        <f t="shared" si="49"/>
        <v>500343.75503626111</v>
      </c>
      <c r="AM38" s="98">
        <f>VLOOKUP(U38,'Peajes Circular CNMC'!$B$13:$J$23,7,FALSE)</f>
        <v>9.9058333333333337</v>
      </c>
      <c r="AN38" s="87">
        <f>VLOOKUP(U38,'Peajes Circular CNMC'!$B$13:$J$23,8,FALSE)</f>
        <v>0</v>
      </c>
      <c r="AO38" s="87">
        <f>VLOOKUP(U38,'Peajes Circular CNMC'!$B$13:$J$23,9,FALSE)</f>
        <v>9.0999999999999998E-2</v>
      </c>
      <c r="AP38" s="123">
        <f t="shared" si="6"/>
        <v>383142.62691377924</v>
      </c>
      <c r="AQ38" s="123">
        <f t="shared" si="50"/>
        <v>0</v>
      </c>
      <c r="AR38" s="123">
        <f t="shared" si="7"/>
        <v>91000</v>
      </c>
      <c r="AS38" s="122">
        <f t="shared" si="51"/>
        <v>474142.62691377924</v>
      </c>
      <c r="AT38" s="124">
        <f t="shared" si="31"/>
        <v>3351499.9637389202</v>
      </c>
      <c r="AU38" s="79">
        <f t="shared" si="8"/>
        <v>3.3514999637389202</v>
      </c>
      <c r="AW38" s="75">
        <f t="shared" si="9"/>
        <v>0.49462615126062792</v>
      </c>
      <c r="AX38" s="100">
        <f t="shared" si="10"/>
        <v>0.9276337420108155</v>
      </c>
      <c r="AY38" s="100">
        <f t="shared" si="11"/>
        <v>-0.55702503556729643</v>
      </c>
      <c r="AZ38" s="125">
        <f t="shared" si="12"/>
        <v>-142514.54069298971</v>
      </c>
      <c r="BA38" s="100">
        <f t="shared" si="13"/>
        <v>-4.0788193784605103E-2</v>
      </c>
      <c r="BB38" s="192">
        <f t="shared" si="14"/>
        <v>-0.14251454069298974</v>
      </c>
    </row>
    <row r="39" spans="1:54">
      <c r="B39" s="105">
        <v>2000000</v>
      </c>
      <c r="C39" s="112">
        <f>IF($C$5&lt;&gt;"Memoria CNMC",$C$5,IF(B39&gt;'Tipología Clientes'!$C$16,'Tipología Clientes'!$L$16,IF(B39&gt;'Tipología Clientes'!$C$15,'Tipología Clientes'!$L$15,IF(B39&gt;'Tipología Clientes'!$C$14,'Tipología Clientes'!$L$14,IF(B39&gt;'Tipología Clientes'!$C$13,'Tipología Clientes'!$L$13,IF(B39&gt;'Tipología Clientes'!$C$12,'Tipología Clientes'!$L$12,IF(B39&gt;'Tipología Clientes'!$C$11,'Tipología Clientes'!$L$11,IF(B39&gt;'Tipología Clientes'!$C$10,'Tipología Clientes'!$L$10,IF(B39&gt;'Tipología Clientes'!$C$9,'Tipología Clientes'!$L$9,IF(B39&gt;'Tipología Clientes'!$C$8,'Tipología Clientes'!$L$8,IF(B39&gt;'Tipología Clientes'!$C$7,'Tipología Clientes'!$L$7,'Tipología Clientes'!$L$6)))))))))))</f>
        <v>0.85</v>
      </c>
      <c r="D39" s="113">
        <f t="shared" si="32"/>
        <v>6446.4141821112007</v>
      </c>
      <c r="E39" s="76" t="str">
        <f>IF(B39&gt;'Peajes Actuales'!$C$21,'Peajes Actuales'!$B$21,IF(B39&gt;'Peajes Actuales'!$C$20,'Peajes Actuales'!$B$20,IF(B39&gt;'Peajes Actuales'!$C$19,'Peajes Actuales'!$B$19,IF(B39&gt;'Peajes Actuales'!$C$18,'Peajes Actuales'!$B$18,IF(B39&gt;'Peajes Actuales'!$C$17,'Peajes Actuales'!$B$17,'Peajes Actuales'!$B$16)))))</f>
        <v>2.6</v>
      </c>
      <c r="F39" s="88">
        <f>'Peajes Actuales'!$H$29</f>
        <v>19.612000000000002</v>
      </c>
      <c r="G39" s="88">
        <f>'Peajes Actuales'!$I$29</f>
        <v>0.11599999999999999</v>
      </c>
      <c r="H39" s="123">
        <f t="shared" si="33"/>
        <v>1517124.8992747786</v>
      </c>
      <c r="I39" s="123">
        <f t="shared" si="34"/>
        <v>231999.99999999997</v>
      </c>
      <c r="J39" s="122">
        <f t="shared" si="35"/>
        <v>1749124.8992747786</v>
      </c>
      <c r="K39" s="89">
        <f>'Peajes Actuales'!$I$5</f>
        <v>10.848000000000001</v>
      </c>
      <c r="L39" s="122">
        <f t="shared" si="36"/>
        <v>839168.41257050773</v>
      </c>
      <c r="M39" s="90">
        <f>VLOOKUP(E39,'Peajes Actuales'!$B$16:$J$21,7,FALSE)</f>
        <v>34.847999999999999</v>
      </c>
      <c r="N39" s="90">
        <f>VLOOKUP(E39,'Peajes Actuales'!$B$16:$J$21,9,FALSE)</f>
        <v>0.85199999999999998</v>
      </c>
      <c r="O39" s="123">
        <f t="shared" si="37"/>
        <v>2695735.697018533</v>
      </c>
      <c r="P39" s="123">
        <f t="shared" si="38"/>
        <v>1704000</v>
      </c>
      <c r="Q39" s="122">
        <f t="shared" si="39"/>
        <v>4399735.697018533</v>
      </c>
      <c r="R39" s="124">
        <f t="shared" si="40"/>
        <v>6988029.0088638198</v>
      </c>
      <c r="S39" s="79">
        <f t="shared" si="41"/>
        <v>3.49401450443191</v>
      </c>
      <c r="U39" s="76" t="str">
        <f>IF(B39&gt;'Peajes Circular CNMC'!$C$23,'Peajes Circular CNMC'!$B$23,IF(B39&gt;'Peajes Circular CNMC'!$C$22,'Peajes Circular CNMC'!$B$22,IF(B39&gt;'Peajes Circular CNMC'!$C$21,'Peajes Circular CNMC'!$B$21,IF(B39&gt;'Peajes Circular CNMC'!$C$20,'Peajes Circular CNMC'!$B$20,IF(B39&gt;'Peajes Circular CNMC'!$C$19,'Peajes Circular CNMC'!$B$19,IF(B39&gt;'Peajes Circular CNMC'!$C$18,'Peajes Circular CNMC'!$B$18,IF(B39&gt;'Peajes Circular CNMC'!$C$17,'Peajes Circular CNMC'!$B$17,IF(B39&gt;'Peajes Circular CNMC'!$C$16,'Peajes Circular CNMC'!$B$16,IF(B39&gt;'Peajes Circular CNMC'!$C$15,'Peajes Circular CNMC'!$B$15,IF(B39&gt;'Peajes Circular CNMC'!$C$14,'Peajes Circular CNMC'!$B$14,'Peajes Circular CNMC'!$B$13))))))))))</f>
        <v>D.11</v>
      </c>
      <c r="V39" s="96">
        <f>'Peajes Circular CNMC'!$H$30</f>
        <v>29.867609999999999</v>
      </c>
      <c r="W39" s="88">
        <f>'Peajes Circular CNMC'!$I$30</f>
        <v>0.15190999999999999</v>
      </c>
      <c r="X39" s="123">
        <f t="shared" si="0"/>
        <v>2310467.8162771957</v>
      </c>
      <c r="Y39" s="123">
        <f t="shared" si="1"/>
        <v>303820</v>
      </c>
      <c r="Z39" s="122">
        <f t="shared" si="47"/>
        <v>2614287.8162771957</v>
      </c>
      <c r="AA39" s="88">
        <f>'Peajes Circular CNMC'!$H$35</f>
        <v>0.26106499999999999</v>
      </c>
      <c r="AB39" s="122">
        <f t="shared" si="26"/>
        <v>522130</v>
      </c>
      <c r="AC39" s="97">
        <f>'Peajes Circular CNMC'!$J$6</f>
        <v>20.326666666666664</v>
      </c>
      <c r="AD39" s="97">
        <f>'Peajes Circular CNMC'!$J$7</f>
        <v>2.2599999999999999E-2</v>
      </c>
      <c r="AE39" s="123">
        <f t="shared" si="2"/>
        <v>1572409.3473005637</v>
      </c>
      <c r="AF39" s="123">
        <f t="shared" si="3"/>
        <v>45200</v>
      </c>
      <c r="AG39" s="122">
        <f t="shared" si="48"/>
        <v>1617609.3473005637</v>
      </c>
      <c r="AH39" s="97">
        <f>'Peajes Circular CNMC'!$K$6</f>
        <v>12.351666666666667</v>
      </c>
      <c r="AI39" s="97">
        <f>'Peajes Circular CNMC'!$K$7</f>
        <v>2.2599999999999999E-2</v>
      </c>
      <c r="AJ39" s="123">
        <f t="shared" si="4"/>
        <v>955487.51007252221</v>
      </c>
      <c r="AK39" s="123">
        <f t="shared" si="5"/>
        <v>45200</v>
      </c>
      <c r="AL39" s="122">
        <f t="shared" si="49"/>
        <v>1000687.5100725222</v>
      </c>
      <c r="AM39" s="98">
        <f>VLOOKUP(U39,'Peajes Circular CNMC'!$B$13:$J$23,7,FALSE)</f>
        <v>9.9058333333333337</v>
      </c>
      <c r="AN39" s="87">
        <f>VLOOKUP(U39,'Peajes Circular CNMC'!$B$13:$J$23,8,FALSE)</f>
        <v>0</v>
      </c>
      <c r="AO39" s="87">
        <f>VLOOKUP(U39,'Peajes Circular CNMC'!$B$13:$J$23,9,FALSE)</f>
        <v>9.0999999999999998E-2</v>
      </c>
      <c r="AP39" s="123">
        <f t="shared" si="6"/>
        <v>766285.25382755848</v>
      </c>
      <c r="AQ39" s="123">
        <f t="shared" si="50"/>
        <v>0</v>
      </c>
      <c r="AR39" s="123">
        <f t="shared" si="7"/>
        <v>182000</v>
      </c>
      <c r="AS39" s="122">
        <f t="shared" si="51"/>
        <v>948285.25382755848</v>
      </c>
      <c r="AT39" s="124">
        <f t="shared" si="31"/>
        <v>6702999.9274778403</v>
      </c>
      <c r="AU39" s="79">
        <f t="shared" si="8"/>
        <v>3.3514999637389202</v>
      </c>
      <c r="AW39" s="75">
        <f t="shared" si="9"/>
        <v>0.49462615126062792</v>
      </c>
      <c r="AX39" s="100">
        <f t="shared" si="10"/>
        <v>0.9276337420108155</v>
      </c>
      <c r="AY39" s="100">
        <f t="shared" si="11"/>
        <v>-0.55702503556729643</v>
      </c>
      <c r="AZ39" s="125">
        <f t="shared" si="12"/>
        <v>-285029.08138597943</v>
      </c>
      <c r="BA39" s="100">
        <f t="shared" si="13"/>
        <v>-4.0788193784605103E-2</v>
      </c>
      <c r="BB39" s="192">
        <f t="shared" si="14"/>
        <v>-0.14251454069298974</v>
      </c>
    </row>
    <row r="40" spans="1:54">
      <c r="A40" s="208"/>
      <c r="B40" s="208"/>
      <c r="C40" s="208"/>
      <c r="D40" s="208"/>
      <c r="E40" s="208"/>
      <c r="F40" s="208"/>
      <c r="G40" s="208"/>
      <c r="H40" s="208"/>
      <c r="I40" s="208"/>
      <c r="J40" s="208"/>
      <c r="K40" s="208"/>
      <c r="L40" s="208"/>
      <c r="M40" s="208"/>
      <c r="N40" s="208"/>
      <c r="O40" s="208"/>
      <c r="P40" s="208"/>
      <c r="Q40" s="208"/>
      <c r="R40" s="208"/>
      <c r="S40" s="208"/>
      <c r="T40" s="208"/>
      <c r="U40" s="208"/>
      <c r="V40" s="208"/>
      <c r="W40" s="208"/>
      <c r="X40" s="208"/>
      <c r="Y40" s="208"/>
      <c r="Z40" s="208"/>
      <c r="AA40" s="208"/>
      <c r="AB40" s="208"/>
      <c r="AC40" s="208"/>
      <c r="AD40" s="208"/>
      <c r="AE40" s="208"/>
      <c r="AF40" s="208"/>
      <c r="AG40" s="208"/>
      <c r="AH40" s="208"/>
      <c r="AI40" s="208"/>
      <c r="AJ40" s="208"/>
      <c r="AK40" s="208"/>
      <c r="AL40" s="208"/>
      <c r="AM40" s="208"/>
      <c r="AN40" s="208"/>
      <c r="AO40" s="208"/>
      <c r="AP40" s="208"/>
      <c r="AQ40" s="208"/>
      <c r="AR40" s="208"/>
      <c r="AS40" s="208"/>
      <c r="AT40" s="208"/>
      <c r="AU40" s="208"/>
      <c r="AV40" s="208"/>
      <c r="AW40" s="208"/>
      <c r="AX40" s="208"/>
      <c r="AY40" s="208"/>
      <c r="AZ40" s="208"/>
      <c r="BA40" s="207"/>
      <c r="BB40" s="209"/>
    </row>
    <row r="41" spans="1:54">
      <c r="A41" s="208"/>
      <c r="B41" s="208"/>
      <c r="C41" s="208"/>
      <c r="D41" s="208"/>
      <c r="E41" s="208"/>
      <c r="F41" s="208"/>
      <c r="G41" s="208"/>
      <c r="H41" s="208"/>
      <c r="I41" s="208"/>
      <c r="J41" s="208"/>
      <c r="K41" s="208"/>
      <c r="L41" s="208"/>
      <c r="M41" s="208"/>
      <c r="N41" s="208"/>
      <c r="O41" s="208"/>
      <c r="P41" s="208"/>
      <c r="Q41" s="208"/>
      <c r="R41" s="208"/>
      <c r="S41" s="208"/>
      <c r="T41" s="208"/>
      <c r="U41" s="208"/>
      <c r="V41" s="208"/>
      <c r="W41" s="208"/>
      <c r="X41" s="208"/>
      <c r="Y41" s="208"/>
      <c r="Z41" s="208"/>
      <c r="AA41" s="208"/>
      <c r="AB41" s="208"/>
      <c r="AC41" s="208"/>
      <c r="AD41" s="208"/>
      <c r="AE41" s="208"/>
      <c r="AF41" s="208"/>
      <c r="AG41" s="208"/>
      <c r="AH41" s="208"/>
      <c r="AI41" s="208"/>
      <c r="AJ41" s="208"/>
      <c r="AK41" s="208"/>
      <c r="AL41" s="208"/>
      <c r="AM41" s="208"/>
      <c r="AN41" s="208"/>
      <c r="AO41" s="208"/>
      <c r="AP41" s="208"/>
      <c r="AQ41" s="208"/>
      <c r="AR41" s="208"/>
      <c r="AS41" s="208"/>
      <c r="AT41" s="208"/>
      <c r="AU41" s="208"/>
      <c r="AV41" s="208"/>
      <c r="AW41" s="208"/>
      <c r="AX41" s="208"/>
      <c r="AY41" s="208"/>
      <c r="AZ41" s="208"/>
      <c r="BA41" s="207"/>
      <c r="BB41" s="209"/>
    </row>
  </sheetData>
  <customSheetViews>
    <customSheetView guid="{96C67CFB-CE46-46EB-8800-9D77F2045444}" scale="90" showGridLines="0" fitToPage="1">
      <pane ySplit="6" topLeftCell="A34" activePane="bottomLeft" state="frozen"/>
      <selection pane="bottomLeft" activeCell="V39" sqref="V39"/>
      <pageMargins left="0.70866141732283472" right="0.70866141732283472" top="0.74803149606299213" bottom="0.74803149606299213" header="0.31496062992125984" footer="0.31496062992125984"/>
      <pageSetup paperSize="8" scale="66" orientation="landscape" r:id="rId1"/>
      <headerFooter>
        <oddHeader>&amp;L&amp;F&amp;R&amp;A</oddHeader>
        <oddFooter>&amp;R&amp;Z&amp;F</oddFooter>
      </headerFooter>
    </customSheetView>
    <customSheetView guid="{DE30ACA8-1284-4798-8E7A-589852EF3C29}" scale="80" showGridLines="0" fitToPage="1" hiddenColumns="1">
      <pane ySplit="6" topLeftCell="A31" activePane="bottomLeft" state="frozen"/>
      <selection pane="bottomLeft" activeCell="AJ56" sqref="AJ56"/>
      <pageMargins left="0.70866141732283472" right="0.70866141732283472" top="0.74803149606299213" bottom="0.74803149606299213" header="0.31496062992125984" footer="0.31496062992125984"/>
      <pageSetup paperSize="8" scale="66" orientation="landscape" r:id="rId2"/>
      <headerFooter>
        <oddHeader>&amp;L&amp;F&amp;R&amp;A</oddHeader>
        <oddFooter>&amp;R&amp;Z&amp;F</oddFooter>
      </headerFooter>
    </customSheetView>
  </customSheetViews>
  <mergeCells count="16">
    <mergeCell ref="C5:D5"/>
    <mergeCell ref="F7:J7"/>
    <mergeCell ref="K7:L7"/>
    <mergeCell ref="M7:Q7"/>
    <mergeCell ref="R7:S7"/>
    <mergeCell ref="R8:S8"/>
    <mergeCell ref="AH7:AL7"/>
    <mergeCell ref="AZ8:BA8"/>
    <mergeCell ref="F6:S6"/>
    <mergeCell ref="V6:AU6"/>
    <mergeCell ref="V7:Z7"/>
    <mergeCell ref="AC7:AG7"/>
    <mergeCell ref="AM7:AS7"/>
    <mergeCell ref="AT7:AU7"/>
    <mergeCell ref="AT8:AU8"/>
    <mergeCell ref="AA7:AB7"/>
  </mergeCells>
  <conditionalFormatting sqref="AW10:BA39 A40:BA41">
    <cfRule type="cellIs" dxfId="59" priority="8" operator="greaterThan">
      <formula>0</formula>
    </cfRule>
  </conditionalFormatting>
  <conditionalFormatting sqref="AW10:BA39 A40:BA41">
    <cfRule type="cellIs" dxfId="58" priority="6" operator="lessThan">
      <formula>0</formula>
    </cfRule>
  </conditionalFormatting>
  <conditionalFormatting sqref="BB10:BB41">
    <cfRule type="cellIs" dxfId="57" priority="2" operator="greaterThan">
      <formula>0</formula>
    </cfRule>
  </conditionalFormatting>
  <conditionalFormatting sqref="BB10:BB41">
    <cfRule type="cellIs" dxfId="56" priority="1" operator="lessThan">
      <formula>0</formula>
    </cfRule>
  </conditionalFormatting>
  <dataValidations count="1">
    <dataValidation type="list" allowBlank="1" showInputMessage="1" showErrorMessage="1" sqref="C5">
      <mc:AlternateContent xmlns:x12ac="http://schemas.microsoft.com/office/spreadsheetml/2011/1/ac" xmlns:mc="http://schemas.openxmlformats.org/markup-compatibility/2006">
        <mc:Choice Requires="x12ac">
          <x12ac:list>Memoria CNMC,"0,80","0,85","0,90"</x12ac:list>
        </mc:Choice>
        <mc:Fallback>
          <formula1>"Memoria CNMC,0,80,0,85,0,90"</formula1>
        </mc:Fallback>
      </mc:AlternateContent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2" orientation="landscape" r:id="rId3"/>
  <headerFooter>
    <oddHeader>&amp;LANEXO I: CÁLCULOS DEL IMPACTO INICIAL DE LA NUEVA METODOLOGÍA DE PEAJES SOBRE LOS CLIENTES&amp;R&amp;A</oddHeader>
  </headerFooter>
  <drawing r:id="rId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BB15"/>
  <sheetViews>
    <sheetView showGridLines="0" tabSelected="1" topLeftCell="D1" zoomScale="80" zoomScaleNormal="80" workbookViewId="0">
      <pane ySplit="9" topLeftCell="A10" activePane="bottomLeft" state="frozen"/>
      <selection activeCell="AD62" sqref="AD62"/>
      <selection pane="bottomLeft" activeCell="AD62" sqref="AD62"/>
    </sheetView>
  </sheetViews>
  <sheetFormatPr baseColWidth="10" defaultColWidth="11" defaultRowHeight="16.5" outlineLevelCol="1"/>
  <cols>
    <col min="1" max="1" width="2.140625" style="67" customWidth="1"/>
    <col min="2" max="2" width="13" style="66" customWidth="1"/>
    <col min="3" max="3" width="8.140625" style="67" customWidth="1"/>
    <col min="4" max="4" width="11.28515625" style="67" customWidth="1"/>
    <col min="5" max="5" width="8.42578125" style="67" customWidth="1"/>
    <col min="6" max="6" width="13.42578125" style="74" hidden="1" customWidth="1" outlineLevel="1"/>
    <col min="7" max="7" width="9.7109375" style="74" customWidth="1" outlineLevel="1"/>
    <col min="8" max="8" width="12.5703125" style="78" hidden="1" customWidth="1" outlineLevel="1"/>
    <col min="9" max="9" width="11.5703125" style="78" hidden="1" customWidth="1" outlineLevel="1"/>
    <col min="10" max="10" width="15.5703125" style="78" customWidth="1" collapsed="1"/>
    <col min="11" max="11" width="13.42578125" style="67" hidden="1" customWidth="1" outlineLevel="1"/>
    <col min="12" max="12" width="14.42578125" style="67" bestFit="1" customWidth="1" collapsed="1"/>
    <col min="13" max="13" width="13.42578125" style="67" hidden="1" customWidth="1" outlineLevel="1"/>
    <col min="14" max="14" width="8.28515625" style="67" customWidth="1" outlineLevel="1"/>
    <col min="15" max="15" width="14.140625" style="67" hidden="1" customWidth="1" outlineLevel="1"/>
    <col min="16" max="16" width="12.5703125" style="67" hidden="1" customWidth="1" outlineLevel="1"/>
    <col min="17" max="17" width="15.140625" style="67" bestFit="1" customWidth="1" collapsed="1"/>
    <col min="18" max="18" width="20.42578125" style="67" bestFit="1" customWidth="1"/>
    <col min="19" max="19" width="8.5703125" style="67" customWidth="1"/>
    <col min="20" max="20" width="1.42578125" style="67" customWidth="1"/>
    <col min="21" max="21" width="9" style="67" customWidth="1"/>
    <col min="22" max="22" width="13.42578125" style="67" hidden="1" customWidth="1" outlineLevel="1"/>
    <col min="23" max="23" width="8.5703125" style="67" hidden="1" customWidth="1" outlineLevel="1"/>
    <col min="24" max="24" width="13.85546875" style="67" hidden="1" customWidth="1" outlineLevel="1"/>
    <col min="25" max="25" width="11.5703125" style="67" hidden="1" customWidth="1" outlineLevel="1"/>
    <col min="26" max="26" width="15.5703125" style="67" bestFit="1" customWidth="1" collapsed="1"/>
    <col min="27" max="27" width="9" style="67" hidden="1" customWidth="1" outlineLevel="1"/>
    <col min="28" max="28" width="13.5703125" style="67" bestFit="1" customWidth="1" collapsed="1"/>
    <col min="29" max="32" width="13.42578125" style="67" hidden="1" customWidth="1" outlineLevel="1"/>
    <col min="33" max="33" width="15.28515625" style="67" customWidth="1" collapsed="1"/>
    <col min="34" max="37" width="13.42578125" style="67" hidden="1" customWidth="1" outlineLevel="1"/>
    <col min="38" max="38" width="13.5703125" style="67" bestFit="1" customWidth="1" collapsed="1"/>
    <col min="39" max="40" width="13.42578125" style="67" hidden="1" customWidth="1" outlineLevel="1"/>
    <col min="41" max="41" width="7.42578125" style="67" hidden="1" customWidth="1" outlineLevel="1"/>
    <col min="42" max="42" width="12.5703125" style="67" hidden="1" customWidth="1" outlineLevel="1"/>
    <col min="43" max="43" width="11.5703125" style="67" hidden="1" customWidth="1" outlineLevel="1"/>
    <col min="44" max="44" width="12.5703125" style="67" hidden="1" customWidth="1" outlineLevel="1"/>
    <col min="45" max="45" width="13.5703125" style="67" bestFit="1" customWidth="1" collapsed="1"/>
    <col min="46" max="46" width="20.42578125" style="67" bestFit="1" customWidth="1"/>
    <col min="47" max="47" width="8.42578125" style="67" customWidth="1"/>
    <col min="48" max="48" width="0.7109375" style="67" customWidth="1"/>
    <col min="49" max="49" width="11" style="74" hidden="1" customWidth="1" outlineLevel="1"/>
    <col min="50" max="50" width="12.140625" style="74" hidden="1" customWidth="1" outlineLevel="1"/>
    <col min="51" max="51" width="10.5703125" style="67" hidden="1" customWidth="1" outlineLevel="1"/>
    <col min="52" max="52" width="13.85546875" style="67" customWidth="1" collapsed="1"/>
    <col min="53" max="53" width="9.42578125" style="67" customWidth="1"/>
    <col min="54" max="54" width="8.42578125" style="67" bestFit="1" customWidth="1"/>
    <col min="55" max="16384" width="11" style="67"/>
  </cols>
  <sheetData>
    <row r="2" spans="2:54" ht="18">
      <c r="B2" s="205" t="s">
        <v>137</v>
      </c>
    </row>
    <row r="3" spans="2:54" ht="20.25">
      <c r="B3" s="206" t="s">
        <v>147</v>
      </c>
    </row>
    <row r="5" spans="2:54">
      <c r="B5" s="128" t="s">
        <v>38</v>
      </c>
      <c r="C5" s="252">
        <v>0.85</v>
      </c>
      <c r="D5" s="253"/>
    </row>
    <row r="6" spans="2:54">
      <c r="B6" s="67"/>
      <c r="F6" s="244" t="s">
        <v>100</v>
      </c>
      <c r="G6" s="245"/>
      <c r="H6" s="245"/>
      <c r="I6" s="245"/>
      <c r="J6" s="245"/>
      <c r="K6" s="245"/>
      <c r="L6" s="245"/>
      <c r="M6" s="245"/>
      <c r="N6" s="245"/>
      <c r="O6" s="245"/>
      <c r="P6" s="245"/>
      <c r="Q6" s="245"/>
      <c r="R6" s="245"/>
      <c r="S6" s="246"/>
      <c r="V6" s="247" t="s">
        <v>101</v>
      </c>
      <c r="W6" s="248"/>
      <c r="X6" s="248"/>
      <c r="Y6" s="248"/>
      <c r="Z6" s="248"/>
      <c r="AA6" s="248"/>
      <c r="AB6" s="248"/>
      <c r="AC6" s="248"/>
      <c r="AD6" s="248"/>
      <c r="AE6" s="248"/>
      <c r="AF6" s="248"/>
      <c r="AG6" s="248"/>
      <c r="AH6" s="248"/>
      <c r="AI6" s="248"/>
      <c r="AJ6" s="248"/>
      <c r="AK6" s="248"/>
      <c r="AL6" s="248"/>
      <c r="AM6" s="248"/>
      <c r="AN6" s="248"/>
      <c r="AO6" s="248"/>
      <c r="AP6" s="248"/>
      <c r="AQ6" s="248"/>
      <c r="AR6" s="248"/>
      <c r="AS6" s="248"/>
      <c r="AT6" s="248"/>
      <c r="AU6" s="249"/>
    </row>
    <row r="7" spans="2:54">
      <c r="F7" s="254" t="s">
        <v>94</v>
      </c>
      <c r="G7" s="255"/>
      <c r="H7" s="255"/>
      <c r="I7" s="255"/>
      <c r="J7" s="256"/>
      <c r="K7" s="254" t="s">
        <v>95</v>
      </c>
      <c r="L7" s="256"/>
      <c r="M7" s="254" t="s">
        <v>96</v>
      </c>
      <c r="N7" s="255"/>
      <c r="O7" s="255"/>
      <c r="P7" s="255"/>
      <c r="Q7" s="256"/>
      <c r="R7" s="254" t="s">
        <v>99</v>
      </c>
      <c r="S7" s="256"/>
      <c r="V7" s="240" t="s">
        <v>94</v>
      </c>
      <c r="W7" s="241"/>
      <c r="X7" s="241"/>
      <c r="Y7" s="241"/>
      <c r="Z7" s="242"/>
      <c r="AA7" s="240" t="s">
        <v>133</v>
      </c>
      <c r="AB7" s="242"/>
      <c r="AC7" s="240" t="s">
        <v>134</v>
      </c>
      <c r="AD7" s="241"/>
      <c r="AE7" s="241"/>
      <c r="AF7" s="241"/>
      <c r="AG7" s="242"/>
      <c r="AH7" s="240" t="s">
        <v>135</v>
      </c>
      <c r="AI7" s="241"/>
      <c r="AJ7" s="241"/>
      <c r="AK7" s="241"/>
      <c r="AL7" s="242"/>
      <c r="AM7" s="240" t="s">
        <v>104</v>
      </c>
      <c r="AN7" s="241"/>
      <c r="AO7" s="241"/>
      <c r="AP7" s="241"/>
      <c r="AQ7" s="241"/>
      <c r="AR7" s="241"/>
      <c r="AS7" s="242"/>
      <c r="AT7" s="240" t="s">
        <v>99</v>
      </c>
      <c r="AU7" s="242"/>
    </row>
    <row r="8" spans="2:54">
      <c r="B8" s="68" t="s">
        <v>86</v>
      </c>
      <c r="C8" s="148" t="s">
        <v>38</v>
      </c>
      <c r="D8" s="147" t="s">
        <v>88</v>
      </c>
      <c r="F8" s="142" t="s">
        <v>54</v>
      </c>
      <c r="G8" s="82" t="s">
        <v>91</v>
      </c>
      <c r="H8" s="85" t="s">
        <v>54</v>
      </c>
      <c r="I8" s="85" t="s">
        <v>91</v>
      </c>
      <c r="J8" s="86" t="s">
        <v>92</v>
      </c>
      <c r="K8" s="142" t="s">
        <v>54</v>
      </c>
      <c r="L8" s="143" t="s">
        <v>92</v>
      </c>
      <c r="M8" s="142" t="s">
        <v>90</v>
      </c>
      <c r="N8" s="82" t="s">
        <v>91</v>
      </c>
      <c r="O8" s="82" t="s">
        <v>90</v>
      </c>
      <c r="P8" s="82" t="s">
        <v>91</v>
      </c>
      <c r="Q8" s="143" t="s">
        <v>92</v>
      </c>
      <c r="R8" s="238" t="s">
        <v>98</v>
      </c>
      <c r="S8" s="239"/>
      <c r="V8" s="145" t="s">
        <v>54</v>
      </c>
      <c r="W8" s="91" t="s">
        <v>91</v>
      </c>
      <c r="X8" s="92" t="s">
        <v>54</v>
      </c>
      <c r="Y8" s="92" t="s">
        <v>91</v>
      </c>
      <c r="Z8" s="93" t="s">
        <v>92</v>
      </c>
      <c r="AA8" s="198"/>
      <c r="AB8" s="197" t="s">
        <v>92</v>
      </c>
      <c r="AC8" s="145" t="s">
        <v>54</v>
      </c>
      <c r="AD8" s="91" t="s">
        <v>91</v>
      </c>
      <c r="AE8" s="91" t="s">
        <v>54</v>
      </c>
      <c r="AF8" s="91" t="s">
        <v>91</v>
      </c>
      <c r="AG8" s="146" t="s">
        <v>92</v>
      </c>
      <c r="AH8" s="145" t="s">
        <v>54</v>
      </c>
      <c r="AI8" s="91" t="s">
        <v>91</v>
      </c>
      <c r="AJ8" s="91" t="s">
        <v>54</v>
      </c>
      <c r="AK8" s="91" t="s">
        <v>91</v>
      </c>
      <c r="AL8" s="146" t="s">
        <v>92</v>
      </c>
      <c r="AM8" s="145" t="s">
        <v>90</v>
      </c>
      <c r="AN8" s="91" t="s">
        <v>50</v>
      </c>
      <c r="AO8" s="91" t="s">
        <v>91</v>
      </c>
      <c r="AP8" s="91" t="s">
        <v>90</v>
      </c>
      <c r="AQ8" s="91" t="s">
        <v>50</v>
      </c>
      <c r="AR8" s="91" t="s">
        <v>91</v>
      </c>
      <c r="AS8" s="146" t="s">
        <v>92</v>
      </c>
      <c r="AT8" s="250" t="s">
        <v>98</v>
      </c>
      <c r="AU8" s="251"/>
      <c r="AW8" s="144" t="s">
        <v>94</v>
      </c>
      <c r="AX8" s="144" t="s">
        <v>95</v>
      </c>
      <c r="AY8" s="144" t="s">
        <v>96</v>
      </c>
      <c r="AZ8" s="243" t="s">
        <v>92</v>
      </c>
      <c r="BA8" s="243"/>
    </row>
    <row r="9" spans="2:54" s="74" customFormat="1">
      <c r="B9" s="71" t="s">
        <v>87</v>
      </c>
      <c r="C9" s="72" t="s">
        <v>53</v>
      </c>
      <c r="D9" s="73" t="s">
        <v>37</v>
      </c>
      <c r="E9" s="136" t="s">
        <v>89</v>
      </c>
      <c r="F9" s="73" t="s">
        <v>58</v>
      </c>
      <c r="G9" s="73" t="s">
        <v>12</v>
      </c>
      <c r="H9" s="77" t="s">
        <v>93</v>
      </c>
      <c r="I9" s="77" t="s">
        <v>93</v>
      </c>
      <c r="J9" s="77" t="s">
        <v>93</v>
      </c>
      <c r="K9" s="73" t="s">
        <v>58</v>
      </c>
      <c r="L9" s="73" t="s">
        <v>93</v>
      </c>
      <c r="M9" s="73" t="s">
        <v>58</v>
      </c>
      <c r="N9" s="73" t="s">
        <v>12</v>
      </c>
      <c r="O9" s="73" t="s">
        <v>93</v>
      </c>
      <c r="P9" s="73" t="s">
        <v>93</v>
      </c>
      <c r="Q9" s="73" t="s">
        <v>93</v>
      </c>
      <c r="R9" s="73" t="s">
        <v>93</v>
      </c>
      <c r="S9" s="73" t="s">
        <v>12</v>
      </c>
      <c r="U9" s="135" t="s">
        <v>89</v>
      </c>
      <c r="V9" s="73" t="s">
        <v>58</v>
      </c>
      <c r="W9" s="73" t="s">
        <v>12</v>
      </c>
      <c r="X9" s="77" t="s">
        <v>93</v>
      </c>
      <c r="Y9" s="77" t="s">
        <v>93</v>
      </c>
      <c r="Z9" s="77" t="s">
        <v>93</v>
      </c>
      <c r="AA9" s="73" t="s">
        <v>12</v>
      </c>
      <c r="AB9" s="77" t="s">
        <v>93</v>
      </c>
      <c r="AC9" s="73" t="s">
        <v>58</v>
      </c>
      <c r="AD9" s="73" t="s">
        <v>12</v>
      </c>
      <c r="AE9" s="73" t="s">
        <v>93</v>
      </c>
      <c r="AF9" s="73" t="s">
        <v>93</v>
      </c>
      <c r="AG9" s="73" t="s">
        <v>93</v>
      </c>
      <c r="AH9" s="73" t="s">
        <v>58</v>
      </c>
      <c r="AI9" s="73" t="s">
        <v>12</v>
      </c>
      <c r="AJ9" s="73" t="s">
        <v>93</v>
      </c>
      <c r="AK9" s="73" t="s">
        <v>93</v>
      </c>
      <c r="AL9" s="73" t="s">
        <v>93</v>
      </c>
      <c r="AM9" s="73" t="s">
        <v>58</v>
      </c>
      <c r="AN9" s="73" t="s">
        <v>97</v>
      </c>
      <c r="AO9" s="73" t="s">
        <v>12</v>
      </c>
      <c r="AP9" s="73" t="s">
        <v>93</v>
      </c>
      <c r="AQ9" s="73" t="s">
        <v>93</v>
      </c>
      <c r="AR9" s="73" t="s">
        <v>93</v>
      </c>
      <c r="AS9" s="73" t="s">
        <v>93</v>
      </c>
      <c r="AT9" s="73" t="s">
        <v>93</v>
      </c>
      <c r="AU9" s="73" t="s">
        <v>12</v>
      </c>
      <c r="AW9" s="101" t="s">
        <v>102</v>
      </c>
      <c r="AX9" s="101" t="s">
        <v>102</v>
      </c>
      <c r="AY9" s="101" t="s">
        <v>102</v>
      </c>
      <c r="AZ9" s="103" t="s">
        <v>103</v>
      </c>
      <c r="BA9" s="104" t="s">
        <v>53</v>
      </c>
      <c r="BB9" s="191" t="s">
        <v>126</v>
      </c>
    </row>
    <row r="10" spans="2:54">
      <c r="B10" s="105">
        <v>457</v>
      </c>
      <c r="C10" s="112">
        <f>IF($C$5&lt;&gt;"Memoria CNMC",$C$5,IF(B10&gt;'Tipología Clientes'!$C$16,'Tipología Clientes'!$L$16,IF(B10&gt;'Tipología Clientes'!$C$15,'Tipología Clientes'!$L$15,IF(B10&gt;'Tipología Clientes'!$C$14,'Tipología Clientes'!$L$14,IF(B10&gt;'Tipología Clientes'!$C$13,'Tipología Clientes'!$L$13,IF(B10&gt;'Tipología Clientes'!$C$12,'Tipología Clientes'!$L$12,IF(B10&gt;'Tipología Clientes'!$C$11,'Tipología Clientes'!$L$11,IF(B10&gt;'Tipología Clientes'!$C$10,'Tipología Clientes'!$L$10,IF(B10&gt;'Tipología Clientes'!$C$9,'Tipología Clientes'!$L$9,IF(B10&gt;'Tipología Clientes'!$C$8,'Tipología Clientes'!$L$8,IF(B10&gt;'Tipología Clientes'!$C$7,'Tipología Clientes'!$L$7,'Tipología Clientes'!$L$6)))))))))))</f>
        <v>0.85</v>
      </c>
      <c r="D10" s="113">
        <f t="shared" ref="D10:D15" si="0">B10/365/C10</f>
        <v>1.4730056406124095</v>
      </c>
      <c r="E10" s="76" t="str">
        <f>IF(B10&gt;'Peajes Actuales'!$C$21,'Peajes Actuales'!$B$21,IF(B10&gt;'Peajes Actuales'!$C$20,'Peajes Actuales'!$B$20,IF(B10&gt;'Peajes Actuales'!$C$19,'Peajes Actuales'!$B$19,IF(B10&gt;'Peajes Actuales'!$C$18,'Peajes Actuales'!$B$18,IF(B10&gt;'Peajes Actuales'!$C$17,'Peajes Actuales'!$B$17,'Peajes Actuales'!$B$16)))))</f>
        <v>2.1</v>
      </c>
      <c r="F10" s="88">
        <f>'Peajes Actuales'!$H$29</f>
        <v>19.612000000000002</v>
      </c>
      <c r="G10" s="88">
        <f>'Peajes Actuales'!$I$29</f>
        <v>0.11599999999999999</v>
      </c>
      <c r="H10" s="123">
        <f t="shared" ref="H10:H15" si="1">D10*F10*12</f>
        <v>346.66303948428697</v>
      </c>
      <c r="I10" s="123">
        <f t="shared" ref="I10:I15" si="2">B10*G10</f>
        <v>53.011999999999993</v>
      </c>
      <c r="J10" s="122">
        <f t="shared" ref="J10:J15" si="3">H10+I10</f>
        <v>399.67503948428697</v>
      </c>
      <c r="K10" s="89">
        <f>'Peajes Actuales'!$I$5</f>
        <v>10.848000000000001</v>
      </c>
      <c r="L10" s="122">
        <f t="shared" ref="L10:L15" si="4">12*K10*D10</f>
        <v>191.74998227236102</v>
      </c>
      <c r="M10" s="90">
        <f>VLOOKUP(E10,'Peajes Actuales'!$B$16:$J$21,7,FALSE)</f>
        <v>253.05500000000001</v>
      </c>
      <c r="N10" s="90">
        <f>VLOOKUP(E10,'Peajes Actuales'!$B$16:$J$21,9,FALSE)</f>
        <v>1.9339999999999999</v>
      </c>
      <c r="O10" s="123">
        <f t="shared" ref="O10:O15" si="5">M10*D10*12</f>
        <v>4473.0173086220793</v>
      </c>
      <c r="P10" s="123">
        <f t="shared" ref="P10:P15" si="6">B10*N10</f>
        <v>883.83799999999997</v>
      </c>
      <c r="Q10" s="122">
        <f t="shared" ref="Q10:Q15" si="7">SUM(O10:P10)</f>
        <v>5356.8553086220791</v>
      </c>
      <c r="R10" s="124">
        <f t="shared" ref="R10:R15" si="8">J10+L10+Q10</f>
        <v>5948.2803303787268</v>
      </c>
      <c r="S10" s="79">
        <f t="shared" ref="S10:S15" si="9">R10/B10</f>
        <v>13.015930701047543</v>
      </c>
      <c r="U10" s="76" t="str">
        <f>IF(B10&gt;'Peajes Circular CNMC'!$C$23,'Peajes Circular CNMC'!$B$23,IF(B10&gt;'Peajes Circular CNMC'!$C$22,'Peajes Circular CNMC'!$B$22,IF(B10&gt;'Peajes Circular CNMC'!$C$21,'Peajes Circular CNMC'!$B$21,IF(B10&gt;'Peajes Circular CNMC'!$C$20,'Peajes Circular CNMC'!$B$20,IF(B10&gt;'Peajes Circular CNMC'!$C$19,'Peajes Circular CNMC'!$B$19,IF(B10&gt;'Peajes Circular CNMC'!$C$18,'Peajes Circular CNMC'!$B$18,IF(B10&gt;'Peajes Circular CNMC'!$C$17,'Peajes Circular CNMC'!$B$17,IF(B10&gt;'Peajes Circular CNMC'!$C$16,'Peajes Circular CNMC'!$B$16,IF(B10&gt;'Peajes Circular CNMC'!$C$15,'Peajes Circular CNMC'!$B$15,IF(B10&gt;'Peajes Circular CNMC'!$C$14,'Peajes Circular CNMC'!$B$14,'Peajes Circular CNMC'!$B$13))))))))))</f>
        <v>D.5</v>
      </c>
      <c r="V10" s="96">
        <f>'Peajes Circular CNMC'!$H$30</f>
        <v>29.867609999999999</v>
      </c>
      <c r="W10" s="88">
        <f>'Peajes Circular CNMC'!$I$30</f>
        <v>0.15190999999999999</v>
      </c>
      <c r="X10" s="123">
        <f t="shared" ref="X10:X15" si="10">12*V10*D10</f>
        <v>527.94189601933931</v>
      </c>
      <c r="Y10" s="123">
        <f t="shared" ref="Y10:Y15" si="11">W10*B10</f>
        <v>69.422869999999989</v>
      </c>
      <c r="Z10" s="122">
        <f t="shared" ref="Z10:Z15" si="12">X10+Y10</f>
        <v>597.3647660193393</v>
      </c>
      <c r="AA10" s="88">
        <f>'Peajes Circular CNMC'!$H$35</f>
        <v>0.26106499999999999</v>
      </c>
      <c r="AB10" s="122">
        <f>B10*AA10</f>
        <v>119.30670499999999</v>
      </c>
      <c r="AC10" s="97">
        <f>'Peajes Circular CNMC'!$J$6</f>
        <v>20.326666666666664</v>
      </c>
      <c r="AD10" s="97">
        <f>'Peajes Circular CNMC'!$J$7</f>
        <v>2.2599999999999999E-2</v>
      </c>
      <c r="AE10" s="123">
        <f t="shared" ref="AE10:AE15" si="13">AC10*12*D10</f>
        <v>359.29553585817888</v>
      </c>
      <c r="AF10" s="123">
        <f t="shared" ref="AF10:AF15" si="14">AD10*B10</f>
        <v>10.328199999999999</v>
      </c>
      <c r="AG10" s="122">
        <f t="shared" ref="AG10:AG15" si="15">AE10+AF10</f>
        <v>369.62373585817886</v>
      </c>
      <c r="AH10" s="97">
        <f>'Peajes Circular CNMC'!$K$6</f>
        <v>12.351666666666667</v>
      </c>
      <c r="AI10" s="97">
        <f>'Peajes Circular CNMC'!$K$7</f>
        <v>2.2599999999999999E-2</v>
      </c>
      <c r="AJ10" s="123">
        <f t="shared" ref="AJ10:AJ15" si="16">AH10*12*D10</f>
        <v>218.32889605157132</v>
      </c>
      <c r="AK10" s="123">
        <f t="shared" ref="AK10:AK15" si="17">AI10*B10</f>
        <v>10.328199999999999</v>
      </c>
      <c r="AL10" s="122">
        <f t="shared" ref="AL10:AL15" si="18">AJ10+AK10</f>
        <v>228.65709605157133</v>
      </c>
      <c r="AM10" s="98">
        <f>VLOOKUP(U10,'Peajes Circular CNMC'!$B$13:$J$23,7,FALSE)</f>
        <v>0</v>
      </c>
      <c r="AN10" s="87">
        <f>VLOOKUP(U10,'Peajes Circular CNMC'!$B$13:$J$23,8,FALSE)</f>
        <v>221.929</v>
      </c>
      <c r="AO10" s="87">
        <f>VLOOKUP(U10,'Peajes Circular CNMC'!$B$13:$J$23,9,FALSE)</f>
        <v>14.445</v>
      </c>
      <c r="AP10" s="123">
        <f t="shared" ref="AP10:AP15" si="19">12*AM10*D10</f>
        <v>0</v>
      </c>
      <c r="AQ10" s="123">
        <f t="shared" ref="AQ10:AQ15" si="20">12*AN10</f>
        <v>2663.1480000000001</v>
      </c>
      <c r="AR10" s="123">
        <f t="shared" ref="AR10:AR15" si="21">AO10*B10</f>
        <v>6601.3649999999998</v>
      </c>
      <c r="AS10" s="122">
        <f t="shared" ref="AS10:AS15" si="22">AP10+AQ10+AR10</f>
        <v>9264.512999999999</v>
      </c>
      <c r="AT10" s="124">
        <f t="shared" ref="AT10:AT15" si="23">Z10+AB10+AG10+AL10+AS10</f>
        <v>10579.465302929089</v>
      </c>
      <c r="AU10" s="79">
        <f t="shared" ref="AU10:AU15" si="24">AT10/B10</f>
        <v>23.149814667240896</v>
      </c>
      <c r="AW10" s="75">
        <f t="shared" ref="AW10:AW15" si="25">(Z10-J10)/J10</f>
        <v>0.49462615126062781</v>
      </c>
      <c r="AX10" s="100">
        <f t="shared" ref="AX10:AX15" si="26">(AG10-L10)/L10</f>
        <v>0.92763374201081572</v>
      </c>
      <c r="AY10" s="100">
        <f t="shared" ref="AY10:AY15" si="27">(AL10+AS10-Q10)/Q10</f>
        <v>0.77215353955368593</v>
      </c>
      <c r="AZ10" s="125">
        <f t="shared" ref="AZ10:AZ15" si="28">AT10-R10</f>
        <v>4631.1849725503625</v>
      </c>
      <c r="BA10" s="100">
        <f t="shared" ref="BA10:BA15" si="29">AZ10/R10</f>
        <v>0.77857543950950525</v>
      </c>
      <c r="BB10" s="192">
        <f>AU10-S10</f>
        <v>10.133883966193354</v>
      </c>
    </row>
    <row r="11" spans="2:54">
      <c r="B11" s="105">
        <v>2234</v>
      </c>
      <c r="C11" s="112">
        <f>IF($C$5&lt;&gt;"Memoria CNMC",$C$5,IF(B11&gt;'Tipología Clientes'!$C$16,'Tipología Clientes'!$L$16,IF(B11&gt;'Tipología Clientes'!$C$15,'Tipología Clientes'!$L$15,IF(B11&gt;'Tipología Clientes'!$C$14,'Tipología Clientes'!$L$14,IF(B11&gt;'Tipología Clientes'!$C$13,'Tipología Clientes'!$L$13,IF(B11&gt;'Tipología Clientes'!$C$12,'Tipología Clientes'!$L$12,IF(B11&gt;'Tipología Clientes'!$C$11,'Tipología Clientes'!$L$11,IF(B11&gt;'Tipología Clientes'!$C$10,'Tipología Clientes'!$L$10,IF(B11&gt;'Tipología Clientes'!$C$9,'Tipología Clientes'!$L$9,IF(B11&gt;'Tipología Clientes'!$C$8,'Tipología Clientes'!$L$8,IF(B11&gt;'Tipología Clientes'!$C$7,'Tipología Clientes'!$L$7,'Tipología Clientes'!$L$6)))))))))))</f>
        <v>0.85</v>
      </c>
      <c r="D11" s="113">
        <f t="shared" si="0"/>
        <v>7.2006446414182115</v>
      </c>
      <c r="E11" s="76" t="str">
        <f>IF(B11&gt;'Peajes Actuales'!$C$21,'Peajes Actuales'!$B$21,IF(B11&gt;'Peajes Actuales'!$C$20,'Peajes Actuales'!$B$20,IF(B11&gt;'Peajes Actuales'!$C$19,'Peajes Actuales'!$B$19,IF(B11&gt;'Peajes Actuales'!$C$18,'Peajes Actuales'!$B$18,IF(B11&gt;'Peajes Actuales'!$C$17,'Peajes Actuales'!$B$17,'Peajes Actuales'!$B$16)))))</f>
        <v>2.2</v>
      </c>
      <c r="F11" s="88">
        <f>'Peajes Actuales'!$H$29</f>
        <v>19.612000000000002</v>
      </c>
      <c r="G11" s="88">
        <f>'Peajes Actuales'!$I$29</f>
        <v>0.11599999999999999</v>
      </c>
      <c r="H11" s="123">
        <f t="shared" si="1"/>
        <v>1694.6285124899277</v>
      </c>
      <c r="I11" s="123">
        <f t="shared" si="2"/>
        <v>259.14400000000001</v>
      </c>
      <c r="J11" s="122">
        <f t="shared" si="3"/>
        <v>1953.7725124899277</v>
      </c>
      <c r="K11" s="89">
        <f>'Peajes Actuales'!$I$5</f>
        <v>10.848000000000001</v>
      </c>
      <c r="L11" s="122">
        <f t="shared" si="4"/>
        <v>937.35111684125718</v>
      </c>
      <c r="M11" s="90">
        <f>VLOOKUP(E11,'Peajes Actuales'!$B$16:$J$21,7,FALSE)</f>
        <v>68.683000000000007</v>
      </c>
      <c r="N11" s="90">
        <f>VLOOKUP(E11,'Peajes Actuales'!$B$16:$J$21,9,FALSE)</f>
        <v>1.5429999999999999</v>
      </c>
      <c r="O11" s="123">
        <f t="shared" si="5"/>
        <v>5934.7425108783245</v>
      </c>
      <c r="P11" s="123">
        <f t="shared" si="6"/>
        <v>3447.0619999999999</v>
      </c>
      <c r="Q11" s="122">
        <f t="shared" si="7"/>
        <v>9381.8045108783244</v>
      </c>
      <c r="R11" s="124">
        <f t="shared" si="8"/>
        <v>12272.928140209509</v>
      </c>
      <c r="S11" s="79">
        <f t="shared" si="9"/>
        <v>5.4937010475423049</v>
      </c>
      <c r="U11" s="76" t="str">
        <f>IF(B11&gt;'Peajes Circular CNMC'!$C$23,'Peajes Circular CNMC'!$B$23,IF(B11&gt;'Peajes Circular CNMC'!$C$22,'Peajes Circular CNMC'!$B$22,IF(B11&gt;'Peajes Circular CNMC'!$C$21,'Peajes Circular CNMC'!$B$21,IF(B11&gt;'Peajes Circular CNMC'!$C$20,'Peajes Circular CNMC'!$B$20,IF(B11&gt;'Peajes Circular CNMC'!$C$19,'Peajes Circular CNMC'!$B$19,IF(B11&gt;'Peajes Circular CNMC'!$C$18,'Peajes Circular CNMC'!$B$18,IF(B11&gt;'Peajes Circular CNMC'!$C$17,'Peajes Circular CNMC'!$B$17,IF(B11&gt;'Peajes Circular CNMC'!$C$16,'Peajes Circular CNMC'!$B$16,IF(B11&gt;'Peajes Circular CNMC'!$C$15,'Peajes Circular CNMC'!$B$15,IF(B11&gt;'Peajes Circular CNMC'!$C$14,'Peajes Circular CNMC'!$B$14,'Peajes Circular CNMC'!$B$13))))))))))</f>
        <v>D.6</v>
      </c>
      <c r="V11" s="96">
        <f>'Peajes Circular CNMC'!$H$30</f>
        <v>29.867609999999999</v>
      </c>
      <c r="W11" s="88">
        <f>'Peajes Circular CNMC'!$I$30</f>
        <v>0.15190999999999999</v>
      </c>
      <c r="X11" s="123">
        <f t="shared" si="10"/>
        <v>2580.7925507816276</v>
      </c>
      <c r="Y11" s="123">
        <f t="shared" si="11"/>
        <v>339.36694</v>
      </c>
      <c r="Z11" s="122">
        <f t="shared" si="12"/>
        <v>2920.1594907816275</v>
      </c>
      <c r="AA11" s="88">
        <f>'Peajes Circular CNMC'!$H$35</f>
        <v>0.26106499999999999</v>
      </c>
      <c r="AB11" s="122">
        <f t="shared" ref="AB11:AB15" si="30">B11*AA11</f>
        <v>583.21920999999998</v>
      </c>
      <c r="AC11" s="97">
        <f>'Peajes Circular CNMC'!$J$6</f>
        <v>20.326666666666664</v>
      </c>
      <c r="AD11" s="97">
        <f>'Peajes Circular CNMC'!$J$7</f>
        <v>2.2599999999999999E-2</v>
      </c>
      <c r="AE11" s="123">
        <f t="shared" si="13"/>
        <v>1756.3812409347299</v>
      </c>
      <c r="AF11" s="123">
        <f t="shared" si="14"/>
        <v>50.488399999999999</v>
      </c>
      <c r="AG11" s="122">
        <f t="shared" si="15"/>
        <v>1806.8696409347299</v>
      </c>
      <c r="AH11" s="97">
        <f>'Peajes Circular CNMC'!$K$6</f>
        <v>12.351666666666667</v>
      </c>
      <c r="AI11" s="97">
        <f>'Peajes Circular CNMC'!$K$7</f>
        <v>2.2599999999999999E-2</v>
      </c>
      <c r="AJ11" s="123">
        <f t="shared" si="16"/>
        <v>1067.2795487510073</v>
      </c>
      <c r="AK11" s="123">
        <f t="shared" si="17"/>
        <v>50.488399999999999</v>
      </c>
      <c r="AL11" s="122">
        <f t="shared" si="18"/>
        <v>1117.7679487510072</v>
      </c>
      <c r="AM11" s="98">
        <f>VLOOKUP(U11,'Peajes Circular CNMC'!$B$13:$J$23,7,FALSE)</f>
        <v>0</v>
      </c>
      <c r="AN11" s="87">
        <f>VLOOKUP(U11,'Peajes Circular CNMC'!$B$13:$J$23,8,FALSE)</f>
        <v>1110.8520000000001</v>
      </c>
      <c r="AO11" s="87">
        <f>VLOOKUP(U11,'Peajes Circular CNMC'!$B$13:$J$23,9,FALSE)</f>
        <v>8.702</v>
      </c>
      <c r="AP11" s="123">
        <f t="shared" si="19"/>
        <v>0</v>
      </c>
      <c r="AQ11" s="123">
        <f t="shared" si="20"/>
        <v>13330.224000000002</v>
      </c>
      <c r="AR11" s="123">
        <f t="shared" si="21"/>
        <v>19440.268</v>
      </c>
      <c r="AS11" s="122">
        <f t="shared" si="22"/>
        <v>32770.491999999998</v>
      </c>
      <c r="AT11" s="124">
        <f t="shared" si="23"/>
        <v>39198.508290467362</v>
      </c>
      <c r="AU11" s="79">
        <f t="shared" si="24"/>
        <v>17.546333164936151</v>
      </c>
      <c r="AW11" s="75">
        <f t="shared" si="25"/>
        <v>0.49462615126062776</v>
      </c>
      <c r="AX11" s="100">
        <f t="shared" si="26"/>
        <v>0.92763374201081572</v>
      </c>
      <c r="AY11" s="100">
        <f t="shared" si="27"/>
        <v>2.6121259944669628</v>
      </c>
      <c r="AZ11" s="125">
        <f t="shared" si="28"/>
        <v>26925.580150257854</v>
      </c>
      <c r="BA11" s="100">
        <f t="shared" si="29"/>
        <v>2.1939002528697453</v>
      </c>
      <c r="BB11" s="192">
        <f>AU11-S11</f>
        <v>12.052632117393845</v>
      </c>
    </row>
    <row r="12" spans="2:54">
      <c r="B12" s="105">
        <v>12157</v>
      </c>
      <c r="C12" s="112">
        <f>IF($C$5&lt;&gt;"Memoria CNMC",$C$5,IF(B12&gt;'Tipología Clientes'!$C$16,'Tipología Clientes'!$L$16,IF(B12&gt;'Tipología Clientes'!$C$15,'Tipología Clientes'!$L$15,IF(B12&gt;'Tipología Clientes'!$C$14,'Tipología Clientes'!$L$14,IF(B12&gt;'Tipología Clientes'!$C$13,'Tipología Clientes'!$L$13,IF(B12&gt;'Tipología Clientes'!$C$12,'Tipología Clientes'!$L$12,IF(B12&gt;'Tipología Clientes'!$C$11,'Tipología Clientes'!$L$11,IF(B12&gt;'Tipología Clientes'!$C$10,'Tipología Clientes'!$L$10,IF(B12&gt;'Tipología Clientes'!$C$9,'Tipología Clientes'!$L$9,IF(B12&gt;'Tipología Clientes'!$C$8,'Tipología Clientes'!$L$8,IF(B12&gt;'Tipología Clientes'!$C$7,'Tipología Clientes'!$L$7,'Tipología Clientes'!$L$6)))))))))))</f>
        <v>0.85</v>
      </c>
      <c r="D12" s="113">
        <f t="shared" si="0"/>
        <v>39.184528605962932</v>
      </c>
      <c r="E12" s="76" t="str">
        <f>IF(B12&gt;'Peajes Actuales'!$C$21,'Peajes Actuales'!$B$21,IF(B12&gt;'Peajes Actuales'!$C$20,'Peajes Actuales'!$B$20,IF(B12&gt;'Peajes Actuales'!$C$19,'Peajes Actuales'!$B$19,IF(B12&gt;'Peajes Actuales'!$C$18,'Peajes Actuales'!$B$18,IF(B12&gt;'Peajes Actuales'!$C$17,'Peajes Actuales'!$B$17,'Peajes Actuales'!$B$16)))))</f>
        <v>2.3</v>
      </c>
      <c r="F12" s="88">
        <f>'Peajes Actuales'!$H$29</f>
        <v>19.612000000000002</v>
      </c>
      <c r="G12" s="88">
        <f>'Peajes Actuales'!$I$29</f>
        <v>0.11599999999999999</v>
      </c>
      <c r="H12" s="123">
        <f t="shared" si="1"/>
        <v>9221.8437002417413</v>
      </c>
      <c r="I12" s="123">
        <f t="shared" si="2"/>
        <v>1410.212</v>
      </c>
      <c r="J12" s="122">
        <f t="shared" si="3"/>
        <v>10632.055700241741</v>
      </c>
      <c r="K12" s="89">
        <f>'Peajes Actuales'!$I$5</f>
        <v>10.848000000000001</v>
      </c>
      <c r="L12" s="122">
        <f t="shared" si="4"/>
        <v>5100.8851958098312</v>
      </c>
      <c r="M12" s="90">
        <f>VLOOKUP(E12,'Peajes Actuales'!$B$16:$J$21,7,FALSE)</f>
        <v>44.970999999999997</v>
      </c>
      <c r="N12" s="90">
        <f>VLOOKUP(E12,'Peajes Actuales'!$B$16:$J$21,9,FALSE)</f>
        <v>1.2490000000000001</v>
      </c>
      <c r="O12" s="123">
        <f t="shared" si="5"/>
        <v>21146.009231265107</v>
      </c>
      <c r="P12" s="123">
        <f t="shared" si="6"/>
        <v>15184.093000000001</v>
      </c>
      <c r="Q12" s="122">
        <f t="shared" si="7"/>
        <v>36330.102231265104</v>
      </c>
      <c r="R12" s="124">
        <f t="shared" si="8"/>
        <v>52063.043127316676</v>
      </c>
      <c r="S12" s="79">
        <f t="shared" si="9"/>
        <v>4.2825568090249799</v>
      </c>
      <c r="U12" s="76" t="str">
        <f>IF(B12&gt;'Peajes Circular CNMC'!$C$23,'Peajes Circular CNMC'!$B$23,IF(B12&gt;'Peajes Circular CNMC'!$C$22,'Peajes Circular CNMC'!$B$22,IF(B12&gt;'Peajes Circular CNMC'!$C$21,'Peajes Circular CNMC'!$B$21,IF(B12&gt;'Peajes Circular CNMC'!$C$20,'Peajes Circular CNMC'!$B$20,IF(B12&gt;'Peajes Circular CNMC'!$C$19,'Peajes Circular CNMC'!$B$19,IF(B12&gt;'Peajes Circular CNMC'!$C$18,'Peajes Circular CNMC'!$B$18,IF(B12&gt;'Peajes Circular CNMC'!$C$17,'Peajes Circular CNMC'!$B$17,IF(B12&gt;'Peajes Circular CNMC'!$C$16,'Peajes Circular CNMC'!$B$16,IF(B12&gt;'Peajes Circular CNMC'!$C$15,'Peajes Circular CNMC'!$B$15,IF(B12&gt;'Peajes Circular CNMC'!$C$14,'Peajes Circular CNMC'!$B$14,'Peajes Circular CNMC'!$B$13))))))))))</f>
        <v>D.7</v>
      </c>
      <c r="V12" s="96">
        <f>'Peajes Circular CNMC'!$H$30</f>
        <v>29.867609999999999</v>
      </c>
      <c r="W12" s="88">
        <f>'Peajes Circular CNMC'!$I$30</f>
        <v>0.15190999999999999</v>
      </c>
      <c r="X12" s="123">
        <f t="shared" si="10"/>
        <v>14044.178621240933</v>
      </c>
      <c r="Y12" s="123">
        <f t="shared" si="11"/>
        <v>1846.7698699999999</v>
      </c>
      <c r="Z12" s="122">
        <f t="shared" si="12"/>
        <v>15890.948491240933</v>
      </c>
      <c r="AA12" s="88">
        <f>'Peajes Circular CNMC'!$H$35</f>
        <v>0.26106499999999999</v>
      </c>
      <c r="AB12" s="122">
        <f t="shared" si="30"/>
        <v>3173.7672050000001</v>
      </c>
      <c r="AC12" s="97">
        <f>'Peajes Circular CNMC'!$J$6</f>
        <v>20.326666666666664</v>
      </c>
      <c r="AD12" s="97">
        <f>'Peajes Circular CNMC'!$J$7</f>
        <v>2.2599999999999999E-2</v>
      </c>
      <c r="AE12" s="123">
        <f t="shared" si="13"/>
        <v>9557.8902175664771</v>
      </c>
      <c r="AF12" s="123">
        <f t="shared" si="14"/>
        <v>274.7482</v>
      </c>
      <c r="AG12" s="122">
        <f t="shared" si="15"/>
        <v>9832.6384175664771</v>
      </c>
      <c r="AH12" s="97">
        <f>'Peajes Circular CNMC'!$K$6</f>
        <v>12.351666666666667</v>
      </c>
      <c r="AI12" s="97">
        <f>'Peajes Circular CNMC'!$K$7</f>
        <v>2.2599999999999999E-2</v>
      </c>
      <c r="AJ12" s="123">
        <f t="shared" si="16"/>
        <v>5807.9308299758259</v>
      </c>
      <c r="AK12" s="123">
        <f t="shared" si="17"/>
        <v>274.7482</v>
      </c>
      <c r="AL12" s="122">
        <f t="shared" si="18"/>
        <v>6082.6790299758259</v>
      </c>
      <c r="AM12" s="98">
        <f>VLOOKUP(U12,'Peajes Circular CNMC'!$B$13:$J$23,7,FALSE)</f>
        <v>86.737500000000011</v>
      </c>
      <c r="AN12" s="87">
        <f>VLOOKUP(U12,'Peajes Circular CNMC'!$B$13:$J$23,8,FALSE)</f>
        <v>0</v>
      </c>
      <c r="AO12" s="87">
        <f>VLOOKUP(U12,'Peajes Circular CNMC'!$B$13:$J$23,9,FALSE)</f>
        <v>1.0900000000000001</v>
      </c>
      <c r="AP12" s="123">
        <f t="shared" si="19"/>
        <v>40785.21659951652</v>
      </c>
      <c r="AQ12" s="123">
        <f t="shared" si="20"/>
        <v>0</v>
      </c>
      <c r="AR12" s="123">
        <f t="shared" si="21"/>
        <v>13251.130000000001</v>
      </c>
      <c r="AS12" s="122">
        <f t="shared" si="22"/>
        <v>54036.346599516517</v>
      </c>
      <c r="AT12" s="124">
        <f t="shared" si="23"/>
        <v>89016.379743299767</v>
      </c>
      <c r="AU12" s="79">
        <f t="shared" si="24"/>
        <v>7.3222324375503636</v>
      </c>
      <c r="AW12" s="75">
        <f t="shared" si="25"/>
        <v>0.49462615126062792</v>
      </c>
      <c r="AX12" s="100">
        <f t="shared" si="26"/>
        <v>0.92763374201081561</v>
      </c>
      <c r="AY12" s="100">
        <f t="shared" si="27"/>
        <v>0.65479924187372296</v>
      </c>
      <c r="AZ12" s="125">
        <f t="shared" si="28"/>
        <v>36953.336615983091</v>
      </c>
      <c r="BA12" s="100">
        <f t="shared" si="29"/>
        <v>0.70978057363293556</v>
      </c>
      <c r="BB12" s="192">
        <f t="shared" ref="BB12:BB15" si="31">AU12-S12</f>
        <v>3.0396756285253836</v>
      </c>
    </row>
    <row r="13" spans="2:54">
      <c r="B13" s="105">
        <v>49046</v>
      </c>
      <c r="C13" s="112">
        <f>IF($C$5&lt;&gt;"Memoria CNMC",$C$5,IF(B13&gt;'Tipología Clientes'!$C$16,'Tipología Clientes'!$L$16,IF(B13&gt;'Tipología Clientes'!$C$15,'Tipología Clientes'!$L$15,IF(B13&gt;'Tipología Clientes'!$C$14,'Tipología Clientes'!$L$14,IF(B13&gt;'Tipología Clientes'!$C$13,'Tipología Clientes'!$L$13,IF(B13&gt;'Tipología Clientes'!$C$12,'Tipología Clientes'!$L$12,IF(B13&gt;'Tipología Clientes'!$C$11,'Tipología Clientes'!$L$11,IF(B13&gt;'Tipología Clientes'!$C$10,'Tipología Clientes'!$L$10,IF(B13&gt;'Tipología Clientes'!$C$9,'Tipología Clientes'!$L$9,IF(B13&gt;'Tipología Clientes'!$C$8,'Tipología Clientes'!$L$8,IF(B13&gt;'Tipología Clientes'!$C$7,'Tipología Clientes'!$L$7,'Tipología Clientes'!$L$6)))))))))))</f>
        <v>0.85</v>
      </c>
      <c r="D13" s="113">
        <f t="shared" si="0"/>
        <v>158.085414987913</v>
      </c>
      <c r="E13" s="76" t="str">
        <f>IF(B13&gt;'Peajes Actuales'!$C$21,'Peajes Actuales'!$B$21,IF(B13&gt;'Peajes Actuales'!$C$20,'Peajes Actuales'!$B$20,IF(B13&gt;'Peajes Actuales'!$C$19,'Peajes Actuales'!$B$19,IF(B13&gt;'Peajes Actuales'!$C$18,'Peajes Actuales'!$B$18,IF(B13&gt;'Peajes Actuales'!$C$17,'Peajes Actuales'!$B$17,'Peajes Actuales'!$B$16)))))</f>
        <v>2.4</v>
      </c>
      <c r="F13" s="88">
        <f>'Peajes Actuales'!$H$29</f>
        <v>19.612000000000002</v>
      </c>
      <c r="G13" s="88">
        <f>'Peajes Actuales'!$I$29</f>
        <v>0.11599999999999999</v>
      </c>
      <c r="H13" s="123">
        <f t="shared" si="1"/>
        <v>37204.453904915405</v>
      </c>
      <c r="I13" s="123">
        <f t="shared" si="2"/>
        <v>5689.3359999999993</v>
      </c>
      <c r="J13" s="122">
        <f t="shared" si="3"/>
        <v>42893.789904915408</v>
      </c>
      <c r="K13" s="89">
        <f>'Peajes Actuales'!$I$5</f>
        <v>10.848000000000001</v>
      </c>
      <c r="L13" s="122">
        <f t="shared" si="4"/>
        <v>20578.926981466564</v>
      </c>
      <c r="M13" s="90">
        <f>VLOOKUP(E13,'Peajes Actuales'!$B$16:$J$21,7,FALSE)</f>
        <v>41.21</v>
      </c>
      <c r="N13" s="90">
        <f>VLOOKUP(E13,'Peajes Actuales'!$B$16:$J$21,9,FALSE)</f>
        <v>1.121</v>
      </c>
      <c r="O13" s="123">
        <f t="shared" si="5"/>
        <v>78176.39941982273</v>
      </c>
      <c r="P13" s="123">
        <f t="shared" si="6"/>
        <v>54980.565999999999</v>
      </c>
      <c r="Q13" s="122">
        <f t="shared" si="7"/>
        <v>133156.96541982272</v>
      </c>
      <c r="R13" s="124">
        <f t="shared" si="8"/>
        <v>196629.68230620469</v>
      </c>
      <c r="S13" s="79">
        <f t="shared" si="9"/>
        <v>4.0090870265914589</v>
      </c>
      <c r="U13" s="76" t="str">
        <f>IF(B13&gt;'Peajes Circular CNMC'!$C$23,'Peajes Circular CNMC'!$B$23,IF(B13&gt;'Peajes Circular CNMC'!$C$22,'Peajes Circular CNMC'!$B$22,IF(B13&gt;'Peajes Circular CNMC'!$C$21,'Peajes Circular CNMC'!$B$21,IF(B13&gt;'Peajes Circular CNMC'!$C$20,'Peajes Circular CNMC'!$B$20,IF(B13&gt;'Peajes Circular CNMC'!$C$19,'Peajes Circular CNMC'!$B$19,IF(B13&gt;'Peajes Circular CNMC'!$C$18,'Peajes Circular CNMC'!$B$18,IF(B13&gt;'Peajes Circular CNMC'!$C$17,'Peajes Circular CNMC'!$B$17,IF(B13&gt;'Peajes Circular CNMC'!$C$16,'Peajes Circular CNMC'!$B$16,IF(B13&gt;'Peajes Circular CNMC'!$C$15,'Peajes Circular CNMC'!$B$15,IF(B13&gt;'Peajes Circular CNMC'!$C$14,'Peajes Circular CNMC'!$B$14,'Peajes Circular CNMC'!$B$13))))))))))</f>
        <v>D.8</v>
      </c>
      <c r="V13" s="96">
        <f>'Peajes Circular CNMC'!$H$30</f>
        <v>29.867609999999999</v>
      </c>
      <c r="W13" s="88">
        <f>'Peajes Circular CNMC'!$I$30</f>
        <v>0.15190999999999999</v>
      </c>
      <c r="X13" s="123">
        <f t="shared" si="10"/>
        <v>56659.602258565683</v>
      </c>
      <c r="Y13" s="123">
        <f t="shared" si="11"/>
        <v>7450.5778599999994</v>
      </c>
      <c r="Z13" s="122">
        <f t="shared" si="12"/>
        <v>64110.18011856568</v>
      </c>
      <c r="AA13" s="88">
        <f>'Peajes Circular CNMC'!$H$35</f>
        <v>0.26106499999999999</v>
      </c>
      <c r="AB13" s="122">
        <f t="shared" si="30"/>
        <v>12804.19399</v>
      </c>
      <c r="AC13" s="97">
        <f>'Peajes Circular CNMC'!$J$6</f>
        <v>20.326666666666664</v>
      </c>
      <c r="AD13" s="97">
        <f>'Peajes Circular CNMC'!$J$7</f>
        <v>2.2599999999999999E-2</v>
      </c>
      <c r="AE13" s="123">
        <f t="shared" si="13"/>
        <v>38560.194423851732</v>
      </c>
      <c r="AF13" s="123">
        <f t="shared" si="14"/>
        <v>1108.4395999999999</v>
      </c>
      <c r="AG13" s="122">
        <f t="shared" si="15"/>
        <v>39668.63402385173</v>
      </c>
      <c r="AH13" s="97">
        <f>'Peajes Circular CNMC'!$K$6</f>
        <v>12.351666666666667</v>
      </c>
      <c r="AI13" s="97">
        <f>'Peajes Circular CNMC'!$K$7</f>
        <v>2.2599999999999999E-2</v>
      </c>
      <c r="AJ13" s="123">
        <f t="shared" si="16"/>
        <v>23431.420209508466</v>
      </c>
      <c r="AK13" s="123">
        <f t="shared" si="17"/>
        <v>1108.4395999999999</v>
      </c>
      <c r="AL13" s="122">
        <f t="shared" si="18"/>
        <v>24539.859809508467</v>
      </c>
      <c r="AM13" s="98">
        <f>VLOOKUP(U13,'Peajes Circular CNMC'!$B$13:$J$23,7,FALSE)</f>
        <v>42.213333333333331</v>
      </c>
      <c r="AN13" s="87">
        <f>VLOOKUP(U13,'Peajes Circular CNMC'!$B$13:$J$23,8,FALSE)</f>
        <v>0</v>
      </c>
      <c r="AO13" s="87">
        <f>VLOOKUP(U13,'Peajes Circular CNMC'!$B$13:$J$23,9,FALSE)</f>
        <v>0.70599999999999996</v>
      </c>
      <c r="AP13" s="123">
        <f t="shared" si="19"/>
        <v>80079.747816277202</v>
      </c>
      <c r="AQ13" s="123">
        <f t="shared" si="20"/>
        <v>0</v>
      </c>
      <c r="AR13" s="123">
        <f t="shared" si="21"/>
        <v>34626.475999999995</v>
      </c>
      <c r="AS13" s="122">
        <f t="shared" si="22"/>
        <v>114706.2238162772</v>
      </c>
      <c r="AT13" s="124">
        <f t="shared" si="23"/>
        <v>255829.09175820308</v>
      </c>
      <c r="AU13" s="79">
        <f t="shared" si="24"/>
        <v>5.2161051208702665</v>
      </c>
      <c r="AW13" s="75">
        <f t="shared" si="25"/>
        <v>0.4946261512606277</v>
      </c>
      <c r="AX13" s="100">
        <f t="shared" si="26"/>
        <v>0.9276337420108155</v>
      </c>
      <c r="AY13" s="100">
        <f t="shared" si="27"/>
        <v>4.5728874841544448E-2</v>
      </c>
      <c r="AZ13" s="125">
        <f t="shared" si="28"/>
        <v>59199.409451998392</v>
      </c>
      <c r="BA13" s="100">
        <f t="shared" si="29"/>
        <v>0.30107056451329239</v>
      </c>
      <c r="BB13" s="192">
        <f t="shared" si="31"/>
        <v>1.2070180942788076</v>
      </c>
    </row>
    <row r="14" spans="2:54">
      <c r="B14" s="105">
        <v>206507</v>
      </c>
      <c r="C14" s="112">
        <f>IF($C$5&lt;&gt;"Memoria CNMC",$C$5,IF(B14&gt;'Tipología Clientes'!$C$16,'Tipología Clientes'!$L$16,IF(B14&gt;'Tipología Clientes'!$C$15,'Tipología Clientes'!$L$15,IF(B14&gt;'Tipología Clientes'!$C$14,'Tipología Clientes'!$L$14,IF(B14&gt;'Tipología Clientes'!$C$13,'Tipología Clientes'!$L$13,IF(B14&gt;'Tipología Clientes'!$C$12,'Tipología Clientes'!$L$12,IF(B14&gt;'Tipología Clientes'!$C$11,'Tipología Clientes'!$L$11,IF(B14&gt;'Tipología Clientes'!$C$10,'Tipología Clientes'!$L$10,IF(B14&gt;'Tipología Clientes'!$C$9,'Tipología Clientes'!$L$9,IF(B14&gt;'Tipología Clientes'!$C$8,'Tipología Clientes'!$L$8,IF(B14&gt;'Tipología Clientes'!$C$7,'Tipología Clientes'!$L$7,'Tipología Clientes'!$L$6)))))))))))</f>
        <v>0.85</v>
      </c>
      <c r="D14" s="113">
        <f t="shared" si="0"/>
        <v>665.61482675261891</v>
      </c>
      <c r="E14" s="76" t="str">
        <f>IF(B14&gt;'Peajes Actuales'!$C$21,'Peajes Actuales'!$B$21,IF(B14&gt;'Peajes Actuales'!$C$20,'Peajes Actuales'!$B$20,IF(B14&gt;'Peajes Actuales'!$C$19,'Peajes Actuales'!$B$19,IF(B14&gt;'Peajes Actuales'!$C$18,'Peajes Actuales'!$B$18,IF(B14&gt;'Peajes Actuales'!$C$17,'Peajes Actuales'!$B$17,'Peajes Actuales'!$B$16)))))</f>
        <v>2.5</v>
      </c>
      <c r="F14" s="88">
        <f>'Peajes Actuales'!$H$29</f>
        <v>19.612000000000002</v>
      </c>
      <c r="G14" s="88">
        <f>'Peajes Actuales'!$I$29</f>
        <v>0.11599999999999999</v>
      </c>
      <c r="H14" s="123">
        <f t="shared" si="1"/>
        <v>156648.45578726835</v>
      </c>
      <c r="I14" s="123">
        <f t="shared" si="2"/>
        <v>23954.811999999998</v>
      </c>
      <c r="J14" s="122">
        <f t="shared" si="3"/>
        <v>180603.26778726836</v>
      </c>
      <c r="K14" s="89">
        <f>'Peajes Actuales'!$I$5</f>
        <v>10.848000000000001</v>
      </c>
      <c r="L14" s="122">
        <f t="shared" si="4"/>
        <v>86647.07568734893</v>
      </c>
      <c r="M14" s="90">
        <f>VLOOKUP(E14,'Peajes Actuales'!$B$16:$J$21,7,FALSE)</f>
        <v>37.887</v>
      </c>
      <c r="N14" s="90">
        <f>VLOOKUP(E14,'Peajes Actuales'!$B$16:$J$21,9,FALSE)</f>
        <v>0.98299999999999998</v>
      </c>
      <c r="O14" s="123">
        <f t="shared" si="5"/>
        <v>302617.78729411768</v>
      </c>
      <c r="P14" s="123">
        <f t="shared" si="6"/>
        <v>202996.38099999999</v>
      </c>
      <c r="Q14" s="122">
        <f t="shared" si="7"/>
        <v>505614.16829411767</v>
      </c>
      <c r="R14" s="124">
        <f t="shared" si="8"/>
        <v>772864.51176873501</v>
      </c>
      <c r="S14" s="79">
        <f t="shared" si="9"/>
        <v>3.7425584206285261</v>
      </c>
      <c r="U14" s="76" t="str">
        <f>IF(B14&gt;'Peajes Circular CNMC'!$C$23,'Peajes Circular CNMC'!$B$23,IF(B14&gt;'Peajes Circular CNMC'!$C$22,'Peajes Circular CNMC'!$B$22,IF(B14&gt;'Peajes Circular CNMC'!$C$21,'Peajes Circular CNMC'!$B$21,IF(B14&gt;'Peajes Circular CNMC'!$C$20,'Peajes Circular CNMC'!$B$20,IF(B14&gt;'Peajes Circular CNMC'!$C$19,'Peajes Circular CNMC'!$B$19,IF(B14&gt;'Peajes Circular CNMC'!$C$18,'Peajes Circular CNMC'!$B$18,IF(B14&gt;'Peajes Circular CNMC'!$C$17,'Peajes Circular CNMC'!$B$17,IF(B14&gt;'Peajes Circular CNMC'!$C$16,'Peajes Circular CNMC'!$B$16,IF(B14&gt;'Peajes Circular CNMC'!$C$15,'Peajes Circular CNMC'!$B$15,IF(B14&gt;'Peajes Circular CNMC'!$C$14,'Peajes Circular CNMC'!$B$14,'Peajes Circular CNMC'!$B$13))))))))))</f>
        <v>D.10</v>
      </c>
      <c r="V14" s="96">
        <f>'Peajes Circular CNMC'!$H$30</f>
        <v>29.867609999999999</v>
      </c>
      <c r="W14" s="88">
        <f>'Peajes Circular CNMC'!$I$30</f>
        <v>0.15190999999999999</v>
      </c>
      <c r="X14" s="123">
        <f t="shared" si="10"/>
        <v>238563.88866797744</v>
      </c>
      <c r="Y14" s="123">
        <f t="shared" si="11"/>
        <v>31370.478369999997</v>
      </c>
      <c r="Z14" s="122">
        <f t="shared" si="12"/>
        <v>269934.36703797744</v>
      </c>
      <c r="AA14" s="88">
        <f>'Peajes Circular CNMC'!$H$35</f>
        <v>0.26106499999999999</v>
      </c>
      <c r="AB14" s="122">
        <f t="shared" si="30"/>
        <v>53911.749954999999</v>
      </c>
      <c r="AC14" s="97">
        <f>'Peajes Circular CNMC'!$J$6</f>
        <v>20.326666666666664</v>
      </c>
      <c r="AD14" s="97">
        <f>'Peajes Circular CNMC'!$J$7</f>
        <v>2.2599999999999999E-2</v>
      </c>
      <c r="AE14" s="123">
        <f t="shared" si="13"/>
        <v>162356.76854149878</v>
      </c>
      <c r="AF14" s="123">
        <f t="shared" si="14"/>
        <v>4667.0581999999995</v>
      </c>
      <c r="AG14" s="122">
        <f t="shared" si="15"/>
        <v>167023.82674149878</v>
      </c>
      <c r="AH14" s="97">
        <f>'Peajes Circular CNMC'!$K$6</f>
        <v>12.351666666666667</v>
      </c>
      <c r="AI14" s="97">
        <f>'Peajes Circular CNMC'!$K$7</f>
        <v>2.2599999999999999E-2</v>
      </c>
      <c r="AJ14" s="123">
        <f t="shared" si="16"/>
        <v>98657.429621273172</v>
      </c>
      <c r="AK14" s="123">
        <f t="shared" si="17"/>
        <v>4667.0581999999995</v>
      </c>
      <c r="AL14" s="122">
        <f t="shared" si="18"/>
        <v>103324.48782127317</v>
      </c>
      <c r="AM14" s="98">
        <f>VLOOKUP(U14,'Peajes Circular CNMC'!$B$13:$J$23,7,FALSE)</f>
        <v>13.934166666666668</v>
      </c>
      <c r="AN14" s="87">
        <f>VLOOKUP(U14,'Peajes Circular CNMC'!$B$13:$J$23,8,FALSE)</f>
        <v>0</v>
      </c>
      <c r="AO14" s="87">
        <f>VLOOKUP(U14,'Peajes Circular CNMC'!$B$13:$J$23,9,FALSE)</f>
        <v>0.38700000000000001</v>
      </c>
      <c r="AP14" s="123">
        <f t="shared" si="19"/>
        <v>111297.45518130541</v>
      </c>
      <c r="AQ14" s="123">
        <f t="shared" si="20"/>
        <v>0</v>
      </c>
      <c r="AR14" s="123">
        <f t="shared" si="21"/>
        <v>79918.209000000003</v>
      </c>
      <c r="AS14" s="122">
        <f t="shared" si="22"/>
        <v>191215.66418130542</v>
      </c>
      <c r="AT14" s="124">
        <f t="shared" si="23"/>
        <v>785410.09573705483</v>
      </c>
      <c r="AU14" s="79">
        <f t="shared" si="24"/>
        <v>3.8033097945205481</v>
      </c>
      <c r="AW14" s="75">
        <f t="shared" si="25"/>
        <v>0.49462615126062792</v>
      </c>
      <c r="AX14" s="100">
        <f t="shared" si="26"/>
        <v>0.92763374201081561</v>
      </c>
      <c r="AY14" s="100">
        <f t="shared" si="27"/>
        <v>-0.41746064396034988</v>
      </c>
      <c r="AZ14" s="125">
        <f t="shared" si="28"/>
        <v>12545.583968319814</v>
      </c>
      <c r="BA14" s="100">
        <f t="shared" si="29"/>
        <v>1.6232578643841058E-2</v>
      </c>
      <c r="BB14" s="192">
        <f t="shared" si="31"/>
        <v>6.0751373892022009E-2</v>
      </c>
    </row>
    <row r="15" spans="2:54">
      <c r="B15" s="105">
        <v>1144703</v>
      </c>
      <c r="C15" s="112">
        <f>IF($C$5&lt;&gt;"Memoria CNMC",$C$5,IF(B15&gt;'Tipología Clientes'!$C$16,'Tipología Clientes'!$L$16,IF(B15&gt;'Tipología Clientes'!$C$15,'Tipología Clientes'!$L$15,IF(B15&gt;'Tipología Clientes'!$C$14,'Tipología Clientes'!$L$14,IF(B15&gt;'Tipología Clientes'!$C$13,'Tipología Clientes'!$L$13,IF(B15&gt;'Tipología Clientes'!$C$12,'Tipología Clientes'!$L$12,IF(B15&gt;'Tipología Clientes'!$C$11,'Tipología Clientes'!$L$11,IF(B15&gt;'Tipología Clientes'!$C$10,'Tipología Clientes'!$L$10,IF(B15&gt;'Tipología Clientes'!$C$9,'Tipología Clientes'!$L$9,IF(B15&gt;'Tipología Clientes'!$C$8,'Tipología Clientes'!$L$8,IF(B15&gt;'Tipología Clientes'!$C$7,'Tipología Clientes'!$L$7,'Tipología Clientes'!$L$6)))))))))))</f>
        <v>0.85</v>
      </c>
      <c r="D15" s="113">
        <f t="shared" si="0"/>
        <v>3689.6148267526191</v>
      </c>
      <c r="E15" s="76" t="str">
        <f>IF(B15&gt;'Peajes Actuales'!$C$21,'Peajes Actuales'!$B$21,IF(B15&gt;'Peajes Actuales'!$C$20,'Peajes Actuales'!$B$20,IF(B15&gt;'Peajes Actuales'!$C$19,'Peajes Actuales'!$B$19,IF(B15&gt;'Peajes Actuales'!$C$18,'Peajes Actuales'!$B$18,IF(B15&gt;'Peajes Actuales'!$C$17,'Peajes Actuales'!$B$17,'Peajes Actuales'!$B$16)))))</f>
        <v>2.6</v>
      </c>
      <c r="F15" s="88">
        <f>'Peajes Actuales'!$H$29</f>
        <v>19.612000000000002</v>
      </c>
      <c r="G15" s="88">
        <f>'Peajes Actuales'!$I$29</f>
        <v>0.11599999999999999</v>
      </c>
      <c r="H15" s="123">
        <f t="shared" si="1"/>
        <v>868328.71178726852</v>
      </c>
      <c r="I15" s="123">
        <f t="shared" si="2"/>
        <v>132785.54799999998</v>
      </c>
      <c r="J15" s="122">
        <f t="shared" si="3"/>
        <v>1001114.2597872685</v>
      </c>
      <c r="K15" s="89">
        <f>'Peajes Actuales'!$I$5</f>
        <v>10.848000000000001</v>
      </c>
      <c r="L15" s="122">
        <f t="shared" si="4"/>
        <v>480299.299687349</v>
      </c>
      <c r="M15" s="90">
        <f>VLOOKUP(E15,'Peajes Actuales'!$B$16:$J$21,7,FALSE)</f>
        <v>34.847999999999999</v>
      </c>
      <c r="N15" s="90">
        <f>VLOOKUP(E15,'Peajes Actuales'!$B$16:$J$21,9,FALSE)</f>
        <v>0.85199999999999998</v>
      </c>
      <c r="O15" s="123">
        <f t="shared" si="5"/>
        <v>1542908.3697921033</v>
      </c>
      <c r="P15" s="123">
        <f t="shared" si="6"/>
        <v>975286.95600000001</v>
      </c>
      <c r="Q15" s="122">
        <f t="shared" si="7"/>
        <v>2518195.3257921031</v>
      </c>
      <c r="R15" s="124">
        <f t="shared" si="8"/>
        <v>3999608.8852667203</v>
      </c>
      <c r="S15" s="79">
        <f t="shared" si="9"/>
        <v>3.4940145044319095</v>
      </c>
      <c r="U15" s="76" t="str">
        <f>IF(B15&gt;'Peajes Circular CNMC'!$C$23,'Peajes Circular CNMC'!$B$23,IF(B15&gt;'Peajes Circular CNMC'!$C$22,'Peajes Circular CNMC'!$B$22,IF(B15&gt;'Peajes Circular CNMC'!$C$21,'Peajes Circular CNMC'!$B$21,IF(B15&gt;'Peajes Circular CNMC'!$C$20,'Peajes Circular CNMC'!$B$20,IF(B15&gt;'Peajes Circular CNMC'!$C$19,'Peajes Circular CNMC'!$B$19,IF(B15&gt;'Peajes Circular CNMC'!$C$18,'Peajes Circular CNMC'!$B$18,IF(B15&gt;'Peajes Circular CNMC'!$C$17,'Peajes Circular CNMC'!$B$17,IF(B15&gt;'Peajes Circular CNMC'!$C$16,'Peajes Circular CNMC'!$B$16,IF(B15&gt;'Peajes Circular CNMC'!$C$15,'Peajes Circular CNMC'!$B$15,IF(B15&gt;'Peajes Circular CNMC'!$C$14,'Peajes Circular CNMC'!$B$14,'Peajes Circular CNMC'!$B$13))))))))))</f>
        <v>D.11</v>
      </c>
      <c r="V15" s="96">
        <f>'Peajes Circular CNMC'!$H$30</f>
        <v>29.867609999999999</v>
      </c>
      <c r="W15" s="88">
        <f>'Peajes Circular CNMC'!$I$30</f>
        <v>0.15190999999999999</v>
      </c>
      <c r="X15" s="123">
        <f t="shared" si="10"/>
        <v>1322399.7203479775</v>
      </c>
      <c r="Y15" s="123">
        <f t="shared" si="11"/>
        <v>173891.83272999999</v>
      </c>
      <c r="Z15" s="122">
        <f t="shared" si="12"/>
        <v>1496291.5530779774</v>
      </c>
      <c r="AA15" s="88">
        <f>'Peajes Circular CNMC'!$H$35</f>
        <v>0.26106499999999999</v>
      </c>
      <c r="AB15" s="122">
        <f t="shared" si="30"/>
        <v>298841.88869499997</v>
      </c>
      <c r="AC15" s="97">
        <f>'Peajes Circular CNMC'!$J$6</f>
        <v>20.326666666666664</v>
      </c>
      <c r="AD15" s="97">
        <f>'Peajes Circular CNMC'!$J$7</f>
        <v>2.2599999999999999E-2</v>
      </c>
      <c r="AE15" s="123">
        <f t="shared" si="13"/>
        <v>899970.84854149877</v>
      </c>
      <c r="AF15" s="123">
        <f t="shared" si="14"/>
        <v>25870.287799999998</v>
      </c>
      <c r="AG15" s="122">
        <f t="shared" si="15"/>
        <v>925841.13634149882</v>
      </c>
      <c r="AH15" s="97">
        <f>'Peajes Circular CNMC'!$K$6</f>
        <v>12.351666666666667</v>
      </c>
      <c r="AI15" s="97">
        <f>'Peajes Circular CNMC'!$K$7</f>
        <v>2.2599999999999999E-2</v>
      </c>
      <c r="AJ15" s="123">
        <f t="shared" si="16"/>
        <v>546874.70962127321</v>
      </c>
      <c r="AK15" s="123">
        <f t="shared" si="17"/>
        <v>25870.287799999998</v>
      </c>
      <c r="AL15" s="122">
        <f t="shared" si="18"/>
        <v>572744.99742127326</v>
      </c>
      <c r="AM15" s="98">
        <f>VLOOKUP(U15,'Peajes Circular CNMC'!$B$13:$J$23,7,FALSE)</f>
        <v>9.9058333333333337</v>
      </c>
      <c r="AN15" s="87">
        <f>VLOOKUP(U15,'Peajes Circular CNMC'!$B$13:$J$23,8,FALSE)</f>
        <v>0</v>
      </c>
      <c r="AO15" s="87">
        <f>VLOOKUP(U15,'Peajes Circular CNMC'!$B$13:$J$23,9,FALSE)</f>
        <v>9.0999999999999998E-2</v>
      </c>
      <c r="AP15" s="123">
        <f t="shared" si="19"/>
        <v>438584.51445608388</v>
      </c>
      <c r="AQ15" s="123">
        <f t="shared" si="20"/>
        <v>0</v>
      </c>
      <c r="AR15" s="123">
        <f t="shared" si="21"/>
        <v>104167.973</v>
      </c>
      <c r="AS15" s="122">
        <f t="shared" si="22"/>
        <v>542752.48745608388</v>
      </c>
      <c r="AT15" s="124">
        <f t="shared" si="23"/>
        <v>3836472.0629918328</v>
      </c>
      <c r="AU15" s="79">
        <f t="shared" si="24"/>
        <v>3.3514999637389198</v>
      </c>
      <c r="AW15" s="75">
        <f t="shared" si="25"/>
        <v>0.49462615126062781</v>
      </c>
      <c r="AX15" s="100">
        <f t="shared" si="26"/>
        <v>0.92763374201081583</v>
      </c>
      <c r="AY15" s="100">
        <f t="shared" si="27"/>
        <v>-0.55702503556729643</v>
      </c>
      <c r="AZ15" s="125">
        <f t="shared" si="28"/>
        <v>-163136.82227488747</v>
      </c>
      <c r="BA15" s="100">
        <f t="shared" si="29"/>
        <v>-4.0788193784605124E-2</v>
      </c>
      <c r="BB15" s="192">
        <f t="shared" si="31"/>
        <v>-0.14251454069298974</v>
      </c>
    </row>
  </sheetData>
  <mergeCells count="16">
    <mergeCell ref="R8:S8"/>
    <mergeCell ref="AT8:AU8"/>
    <mergeCell ref="AZ8:BA8"/>
    <mergeCell ref="C5:D5"/>
    <mergeCell ref="F6:S6"/>
    <mergeCell ref="V6:AU6"/>
    <mergeCell ref="F7:J7"/>
    <mergeCell ref="K7:L7"/>
    <mergeCell ref="M7:Q7"/>
    <mergeCell ref="R7:S7"/>
    <mergeCell ref="V7:Z7"/>
    <mergeCell ref="AC7:AG7"/>
    <mergeCell ref="AH7:AL7"/>
    <mergeCell ref="AM7:AS7"/>
    <mergeCell ref="AT7:AU7"/>
    <mergeCell ref="AA7:AB7"/>
  </mergeCells>
  <conditionalFormatting sqref="AW10:BA15">
    <cfRule type="cellIs" dxfId="55" priority="4" operator="greaterThan">
      <formula>0</formula>
    </cfRule>
  </conditionalFormatting>
  <conditionalFormatting sqref="AW10:BA15">
    <cfRule type="cellIs" dxfId="54" priority="3" operator="lessThan">
      <formula>0</formula>
    </cfRule>
  </conditionalFormatting>
  <conditionalFormatting sqref="BB10:BB15">
    <cfRule type="cellIs" dxfId="53" priority="2" operator="greaterThan">
      <formula>0</formula>
    </cfRule>
  </conditionalFormatting>
  <conditionalFormatting sqref="BB10:BB15">
    <cfRule type="cellIs" dxfId="52" priority="1" operator="lessThan">
      <formula>0</formula>
    </cfRule>
  </conditionalFormatting>
  <dataValidations count="1">
    <dataValidation type="list" allowBlank="1" showInputMessage="1" showErrorMessage="1" sqref="C5">
      <mc:AlternateContent xmlns:x12ac="http://schemas.microsoft.com/office/spreadsheetml/2011/1/ac" xmlns:mc="http://schemas.openxmlformats.org/markup-compatibility/2006">
        <mc:Choice Requires="x12ac">
          <x12ac:list>Memoria CNMC,"0,80","0,85","0,90"</x12ac:list>
        </mc:Choice>
        <mc:Fallback>
          <formula1>"Memoria CNMC,0,80,0,85,0,90"</formula1>
        </mc:Fallback>
      </mc:AlternateContent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2" orientation="landscape" r:id="rId1"/>
  <headerFooter>
    <oddHeader>&amp;LANEXO I: CÁLCULOS DEL IMPACTO INICIAL DE LA NUEVA METODOLOGÍA DE PEAJES SOBRE LOS CLIENTES&amp;R&amp;A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BB22"/>
  <sheetViews>
    <sheetView showGridLines="0" zoomScale="80" zoomScaleNormal="80" workbookViewId="0">
      <pane ySplit="9" topLeftCell="A19" activePane="bottomLeft" state="frozen"/>
      <selection activeCell="AD62" sqref="AD62"/>
      <selection pane="bottomLeft" activeCell="AD62" sqref="AD62"/>
    </sheetView>
  </sheetViews>
  <sheetFormatPr baseColWidth="10" defaultColWidth="11" defaultRowHeight="16.5" outlineLevelCol="1"/>
  <cols>
    <col min="1" max="1" width="2.140625" style="67" customWidth="1"/>
    <col min="2" max="2" width="10.140625" style="66" customWidth="1"/>
    <col min="3" max="3" width="6.7109375" style="67" customWidth="1"/>
    <col min="4" max="4" width="10.42578125" style="67" customWidth="1"/>
    <col min="5" max="5" width="8.42578125" style="67" customWidth="1"/>
    <col min="6" max="6" width="13.42578125" style="74" hidden="1" customWidth="1" outlineLevel="1"/>
    <col min="7" max="7" width="9.7109375" style="74" customWidth="1" outlineLevel="1"/>
    <col min="8" max="8" width="12.5703125" style="78" hidden="1" customWidth="1" outlineLevel="1"/>
    <col min="9" max="9" width="11.5703125" style="78" hidden="1" customWidth="1" outlineLevel="1"/>
    <col min="10" max="10" width="13.28515625" style="78" customWidth="1"/>
    <col min="11" max="11" width="13.42578125" style="67" hidden="1" customWidth="1" outlineLevel="1"/>
    <col min="12" max="12" width="14.5703125" style="67" customWidth="1" collapsed="1"/>
    <col min="13" max="13" width="13.42578125" style="67" hidden="1" customWidth="1" outlineLevel="1"/>
    <col min="14" max="14" width="8.28515625" style="67" customWidth="1" outlineLevel="1"/>
    <col min="15" max="15" width="14.140625" style="67" hidden="1" customWidth="1" outlineLevel="1"/>
    <col min="16" max="16" width="12.5703125" style="67" hidden="1" customWidth="1" outlineLevel="1"/>
    <col min="17" max="17" width="14.140625" style="67" bestFit="1" customWidth="1"/>
    <col min="18" max="18" width="17.28515625" style="67" bestFit="1" customWidth="1"/>
    <col min="19" max="19" width="7.42578125" style="67" bestFit="1" customWidth="1"/>
    <col min="20" max="20" width="0.85546875" style="67" customWidth="1"/>
    <col min="21" max="21" width="8.140625" style="67" customWidth="1"/>
    <col min="22" max="22" width="13.42578125" style="67" hidden="1" customWidth="1" outlineLevel="1"/>
    <col min="23" max="23" width="8.5703125" style="67" hidden="1" customWidth="1" outlineLevel="1"/>
    <col min="24" max="24" width="12.5703125" style="67" hidden="1" customWidth="1" outlineLevel="1"/>
    <col min="25" max="25" width="11.5703125" style="67" hidden="1" customWidth="1" outlineLevel="1"/>
    <col min="26" max="26" width="14.140625" style="67" bestFit="1" customWidth="1" collapsed="1"/>
    <col min="27" max="27" width="9" style="67" hidden="1" customWidth="1" outlineLevel="1"/>
    <col min="28" max="28" width="13.7109375" style="67" customWidth="1" collapsed="1"/>
    <col min="29" max="32" width="13.42578125" style="67" hidden="1" customWidth="1" outlineLevel="1"/>
    <col min="33" max="33" width="15.5703125" style="67" customWidth="1" collapsed="1"/>
    <col min="34" max="37" width="13.42578125" style="67" hidden="1" customWidth="1" outlineLevel="1"/>
    <col min="38" max="38" width="14.140625" style="67" customWidth="1" collapsed="1"/>
    <col min="39" max="40" width="13.42578125" style="67" hidden="1" customWidth="1" outlineLevel="1"/>
    <col min="41" max="41" width="7.42578125" style="67" hidden="1" customWidth="1" outlineLevel="1"/>
    <col min="42" max="42" width="12.5703125" style="67" hidden="1" customWidth="1" outlineLevel="1"/>
    <col min="43" max="43" width="11.5703125" style="67" hidden="1" customWidth="1" outlineLevel="1"/>
    <col min="44" max="44" width="12.5703125" style="67" hidden="1" customWidth="1" outlineLevel="1"/>
    <col min="45" max="45" width="12.42578125" style="67" bestFit="1" customWidth="1" collapsed="1"/>
    <col min="46" max="46" width="16.7109375" style="67" bestFit="1" customWidth="1"/>
    <col min="47" max="47" width="8.42578125" style="67" customWidth="1"/>
    <col min="48" max="48" width="0.7109375" style="67" customWidth="1"/>
    <col min="49" max="49" width="11" style="74" hidden="1" customWidth="1" outlineLevel="1"/>
    <col min="50" max="50" width="12.140625" style="74" hidden="1" customWidth="1" outlineLevel="1"/>
    <col min="51" max="51" width="10.5703125" style="67" hidden="1" customWidth="1" outlineLevel="1"/>
    <col min="52" max="52" width="13.85546875" style="67" customWidth="1" collapsed="1"/>
    <col min="53" max="53" width="9.42578125" style="67" customWidth="1"/>
    <col min="54" max="54" width="8.42578125" style="67" bestFit="1" customWidth="1"/>
    <col min="55" max="16384" width="11" style="67"/>
  </cols>
  <sheetData>
    <row r="2" spans="2:54" ht="18">
      <c r="B2" s="205" t="s">
        <v>137</v>
      </c>
    </row>
    <row r="3" spans="2:54" ht="20.25">
      <c r="B3" s="206" t="s">
        <v>140</v>
      </c>
    </row>
    <row r="5" spans="2:54">
      <c r="B5" s="128" t="s">
        <v>38</v>
      </c>
      <c r="C5" s="252">
        <v>0.85</v>
      </c>
      <c r="D5" s="253"/>
    </row>
    <row r="6" spans="2:54">
      <c r="B6" s="257" t="s">
        <v>106</v>
      </c>
      <c r="C6" s="257"/>
      <c r="D6" s="129">
        <v>0</v>
      </c>
      <c r="F6" s="244" t="s">
        <v>100</v>
      </c>
      <c r="G6" s="245"/>
      <c r="H6" s="245"/>
      <c r="I6" s="245"/>
      <c r="J6" s="245"/>
      <c r="K6" s="245"/>
      <c r="L6" s="245"/>
      <c r="M6" s="245"/>
      <c r="N6" s="245"/>
      <c r="O6" s="245"/>
      <c r="P6" s="245"/>
      <c r="Q6" s="245"/>
      <c r="R6" s="245"/>
      <c r="S6" s="246"/>
      <c r="V6" s="247" t="s">
        <v>101</v>
      </c>
      <c r="W6" s="248"/>
      <c r="X6" s="248"/>
      <c r="Y6" s="248"/>
      <c r="Z6" s="248"/>
      <c r="AA6" s="248"/>
      <c r="AB6" s="248"/>
      <c r="AC6" s="248"/>
      <c r="AD6" s="248"/>
      <c r="AE6" s="248"/>
      <c r="AF6" s="248"/>
      <c r="AG6" s="248"/>
      <c r="AH6" s="248"/>
      <c r="AI6" s="248"/>
      <c r="AJ6" s="248"/>
      <c r="AK6" s="248"/>
      <c r="AL6" s="248"/>
      <c r="AM6" s="248"/>
      <c r="AN6" s="248"/>
      <c r="AO6" s="248"/>
      <c r="AP6" s="248"/>
      <c r="AQ6" s="248"/>
      <c r="AR6" s="248"/>
      <c r="AS6" s="248"/>
      <c r="AT6" s="248"/>
      <c r="AU6" s="249"/>
    </row>
    <row r="7" spans="2:54">
      <c r="F7" s="254" t="s">
        <v>94</v>
      </c>
      <c r="G7" s="255"/>
      <c r="H7" s="255"/>
      <c r="I7" s="255"/>
      <c r="J7" s="256"/>
      <c r="K7" s="254" t="s">
        <v>95</v>
      </c>
      <c r="L7" s="256"/>
      <c r="M7" s="254" t="s">
        <v>96</v>
      </c>
      <c r="N7" s="255"/>
      <c r="O7" s="255"/>
      <c r="P7" s="255"/>
      <c r="Q7" s="256"/>
      <c r="R7" s="254" t="s">
        <v>99</v>
      </c>
      <c r="S7" s="256"/>
      <c r="V7" s="240" t="s">
        <v>94</v>
      </c>
      <c r="W7" s="241"/>
      <c r="X7" s="241"/>
      <c r="Y7" s="241"/>
      <c r="Z7" s="242"/>
      <c r="AA7" s="240" t="s">
        <v>133</v>
      </c>
      <c r="AB7" s="242"/>
      <c r="AC7" s="240" t="s">
        <v>134</v>
      </c>
      <c r="AD7" s="241"/>
      <c r="AE7" s="241"/>
      <c r="AF7" s="241"/>
      <c r="AG7" s="242"/>
      <c r="AH7" s="240" t="s">
        <v>135</v>
      </c>
      <c r="AI7" s="241"/>
      <c r="AJ7" s="241"/>
      <c r="AK7" s="241"/>
      <c r="AL7" s="242"/>
      <c r="AM7" s="240" t="s">
        <v>104</v>
      </c>
      <c r="AN7" s="241"/>
      <c r="AO7" s="241"/>
      <c r="AP7" s="241"/>
      <c r="AQ7" s="241"/>
      <c r="AR7" s="241"/>
      <c r="AS7" s="242"/>
      <c r="AT7" s="240" t="s">
        <v>99</v>
      </c>
      <c r="AU7" s="242"/>
    </row>
    <row r="8" spans="2:54">
      <c r="B8" s="68" t="s">
        <v>86</v>
      </c>
      <c r="C8" s="69" t="s">
        <v>38</v>
      </c>
      <c r="D8" s="70" t="s">
        <v>88</v>
      </c>
      <c r="F8" s="83" t="s">
        <v>54</v>
      </c>
      <c r="G8" s="82" t="s">
        <v>91</v>
      </c>
      <c r="H8" s="85" t="s">
        <v>54</v>
      </c>
      <c r="I8" s="85" t="s">
        <v>91</v>
      </c>
      <c r="J8" s="86" t="s">
        <v>92</v>
      </c>
      <c r="K8" s="83" t="s">
        <v>54</v>
      </c>
      <c r="L8" s="84" t="s">
        <v>92</v>
      </c>
      <c r="M8" s="83" t="s">
        <v>90</v>
      </c>
      <c r="N8" s="82" t="s">
        <v>91</v>
      </c>
      <c r="O8" s="82" t="s">
        <v>90</v>
      </c>
      <c r="P8" s="82" t="s">
        <v>91</v>
      </c>
      <c r="Q8" s="84" t="s">
        <v>92</v>
      </c>
      <c r="R8" s="238" t="s">
        <v>98</v>
      </c>
      <c r="S8" s="239"/>
      <c r="V8" s="94" t="s">
        <v>54</v>
      </c>
      <c r="W8" s="91" t="s">
        <v>91</v>
      </c>
      <c r="X8" s="92" t="s">
        <v>54</v>
      </c>
      <c r="Y8" s="92" t="s">
        <v>91</v>
      </c>
      <c r="Z8" s="93" t="s">
        <v>92</v>
      </c>
      <c r="AA8" s="198"/>
      <c r="AB8" s="197" t="s">
        <v>92</v>
      </c>
      <c r="AC8" s="94" t="s">
        <v>54</v>
      </c>
      <c r="AD8" s="91" t="s">
        <v>91</v>
      </c>
      <c r="AE8" s="91" t="s">
        <v>54</v>
      </c>
      <c r="AF8" s="91" t="s">
        <v>91</v>
      </c>
      <c r="AG8" s="95" t="s">
        <v>92</v>
      </c>
      <c r="AH8" s="94" t="s">
        <v>54</v>
      </c>
      <c r="AI8" s="91" t="s">
        <v>91</v>
      </c>
      <c r="AJ8" s="91" t="s">
        <v>54</v>
      </c>
      <c r="AK8" s="91" t="s">
        <v>91</v>
      </c>
      <c r="AL8" s="95" t="s">
        <v>92</v>
      </c>
      <c r="AM8" s="94" t="s">
        <v>90</v>
      </c>
      <c r="AN8" s="91" t="s">
        <v>50</v>
      </c>
      <c r="AO8" s="91" t="s">
        <v>91</v>
      </c>
      <c r="AP8" s="91" t="s">
        <v>90</v>
      </c>
      <c r="AQ8" s="91" t="s">
        <v>50</v>
      </c>
      <c r="AR8" s="91" t="s">
        <v>91</v>
      </c>
      <c r="AS8" s="95" t="s">
        <v>92</v>
      </c>
      <c r="AT8" s="250" t="s">
        <v>98</v>
      </c>
      <c r="AU8" s="251"/>
      <c r="AW8" s="102" t="s">
        <v>94</v>
      </c>
      <c r="AX8" s="102" t="s">
        <v>95</v>
      </c>
      <c r="AY8" s="102" t="s">
        <v>96</v>
      </c>
      <c r="AZ8" s="243" t="s">
        <v>92</v>
      </c>
      <c r="BA8" s="243"/>
    </row>
    <row r="9" spans="2:54" s="74" customFormat="1">
      <c r="B9" s="71" t="s">
        <v>87</v>
      </c>
      <c r="C9" s="72" t="s">
        <v>53</v>
      </c>
      <c r="D9" s="73" t="s">
        <v>37</v>
      </c>
      <c r="E9" s="136" t="s">
        <v>89</v>
      </c>
      <c r="F9" s="73" t="s">
        <v>58</v>
      </c>
      <c r="G9" s="73" t="s">
        <v>12</v>
      </c>
      <c r="H9" s="77" t="s">
        <v>93</v>
      </c>
      <c r="I9" s="77" t="s">
        <v>93</v>
      </c>
      <c r="J9" s="77" t="s">
        <v>93</v>
      </c>
      <c r="K9" s="73" t="s">
        <v>58</v>
      </c>
      <c r="L9" s="73" t="s">
        <v>93</v>
      </c>
      <c r="M9" s="73" t="s">
        <v>58</v>
      </c>
      <c r="N9" s="73" t="s">
        <v>12</v>
      </c>
      <c r="O9" s="73" t="s">
        <v>93</v>
      </c>
      <c r="P9" s="73" t="s">
        <v>93</v>
      </c>
      <c r="Q9" s="73" t="s">
        <v>93</v>
      </c>
      <c r="R9" s="73" t="s">
        <v>93</v>
      </c>
      <c r="S9" s="73" t="s">
        <v>12</v>
      </c>
      <c r="U9" s="135" t="s">
        <v>89</v>
      </c>
      <c r="V9" s="73" t="s">
        <v>58</v>
      </c>
      <c r="W9" s="73" t="s">
        <v>12</v>
      </c>
      <c r="X9" s="77" t="s">
        <v>93</v>
      </c>
      <c r="Y9" s="77" t="s">
        <v>93</v>
      </c>
      <c r="Z9" s="77" t="s">
        <v>93</v>
      </c>
      <c r="AA9" s="73" t="s">
        <v>12</v>
      </c>
      <c r="AB9" s="77" t="s">
        <v>93</v>
      </c>
      <c r="AC9" s="73" t="s">
        <v>58</v>
      </c>
      <c r="AD9" s="73" t="s">
        <v>12</v>
      </c>
      <c r="AE9" s="73" t="s">
        <v>93</v>
      </c>
      <c r="AF9" s="73" t="s">
        <v>93</v>
      </c>
      <c r="AG9" s="73" t="s">
        <v>93</v>
      </c>
      <c r="AH9" s="73" t="s">
        <v>58</v>
      </c>
      <c r="AI9" s="73" t="s">
        <v>12</v>
      </c>
      <c r="AJ9" s="73" t="s">
        <v>93</v>
      </c>
      <c r="AK9" s="73" t="s">
        <v>93</v>
      </c>
      <c r="AL9" s="73" t="s">
        <v>93</v>
      </c>
      <c r="AM9" s="73" t="s">
        <v>58</v>
      </c>
      <c r="AN9" s="73" t="s">
        <v>97</v>
      </c>
      <c r="AO9" s="73" t="s">
        <v>12</v>
      </c>
      <c r="AP9" s="73" t="s">
        <v>93</v>
      </c>
      <c r="AQ9" s="73" t="s">
        <v>93</v>
      </c>
      <c r="AR9" s="73" t="s">
        <v>93</v>
      </c>
      <c r="AS9" s="73" t="s">
        <v>93</v>
      </c>
      <c r="AT9" s="73" t="s">
        <v>93</v>
      </c>
      <c r="AU9" s="73" t="s">
        <v>12</v>
      </c>
      <c r="AW9" s="101" t="s">
        <v>102</v>
      </c>
      <c r="AX9" s="101" t="s">
        <v>102</v>
      </c>
      <c r="AY9" s="101" t="s">
        <v>102</v>
      </c>
      <c r="AZ9" s="103" t="s">
        <v>103</v>
      </c>
      <c r="BA9" s="104" t="s">
        <v>53</v>
      </c>
      <c r="BB9" s="191" t="s">
        <v>126</v>
      </c>
    </row>
    <row r="10" spans="2:54">
      <c r="B10" s="105">
        <v>8250</v>
      </c>
      <c r="C10" s="112">
        <f>IF($C$5&lt;&gt;"Memoria CNMC",$C$5,IF(B10&gt;'Tipología Clientes'!$C$16,'Tipología Clientes'!$L$16,IF(B10&gt;'Tipología Clientes'!$C$15,'Tipología Clientes'!$L$15,IF(B10&gt;'Tipología Clientes'!$C$14,'Tipología Clientes'!$L$14,IF(B10&gt;'Tipología Clientes'!$C$13,'Tipología Clientes'!$L$13,IF(B10&gt;'Tipología Clientes'!$C$12,'Tipología Clientes'!$L$12,IF(B10&gt;'Tipología Clientes'!$C$11,'Tipología Clientes'!$L$11,IF(B10&gt;'Tipología Clientes'!$C$10,'Tipología Clientes'!$L$10,IF(B10&gt;'Tipología Clientes'!$C$9,'Tipología Clientes'!$L$9,IF(B10&gt;'Tipología Clientes'!$C$8,'Tipología Clientes'!$L$8,IF(B10&gt;'Tipología Clientes'!$C$7,'Tipología Clientes'!$L$7,'Tipología Clientes'!$L$6)))))))))))</f>
        <v>0.85</v>
      </c>
      <c r="D10" s="113">
        <f>B10/365/C10</f>
        <v>26.591458501208702</v>
      </c>
      <c r="E10" s="76" t="str">
        <f>IF(B10&gt;'Peajes Actuales'!$C$15,'Peajes Actuales'!$B$15,IF(B10&gt;'Peajes Actuales'!$C$14,'Peajes Actuales'!$B$14,IF(B10&gt;'Peajes Actuales'!$C$13,'Peajes Actuales'!$B$13,IF(B10&gt;'Peajes Actuales'!$C$12,'Peajes Actuales'!$B$12,'Peajes Actuales'!$B$11))))</f>
        <v>3.5</v>
      </c>
      <c r="F10" s="88">
        <f>'Peajes Actuales'!$H$29</f>
        <v>19.612000000000002</v>
      </c>
      <c r="G10" s="88">
        <f>'Peajes Actuales'!$I$29</f>
        <v>0.11599999999999999</v>
      </c>
      <c r="H10" s="123">
        <f>D10*F10*12</f>
        <v>6258.1402095084613</v>
      </c>
      <c r="I10" s="123">
        <f>B10*G10</f>
        <v>956.99999999999989</v>
      </c>
      <c r="J10" s="122">
        <f>H10+I10</f>
        <v>7215.1402095084613</v>
      </c>
      <c r="K10" s="89">
        <f>'Peajes Actuales'!$I$5</f>
        <v>10.848000000000001</v>
      </c>
      <c r="L10" s="122">
        <f>12*K10*D10</f>
        <v>3461.5697018533447</v>
      </c>
      <c r="M10" s="90">
        <f>VLOOKUP(E10,'Peajes Actuales'!$B$15:$J$15,7,FALSE)</f>
        <v>59.258000000000003</v>
      </c>
      <c r="N10" s="90">
        <f>VLOOKUP(E10,'Peajes Actuales'!$B$15:$J$15,9,FALSE)</f>
        <v>2.0099999999999998</v>
      </c>
      <c r="O10" s="123">
        <f>IF($D$6&lt;=0.3,M10*D10*12,(D10-$D$6*0.5*D10)*M10*12)</f>
        <v>18909.079774375503</v>
      </c>
      <c r="P10" s="123">
        <f>B10*N10</f>
        <v>16582.5</v>
      </c>
      <c r="Q10" s="122">
        <f>SUM(O10:P10)</f>
        <v>35491.579774375503</v>
      </c>
      <c r="R10" s="124">
        <f>J10+L10+Q10</f>
        <v>46168.289685737313</v>
      </c>
      <c r="S10" s="79">
        <f>R10/B10</f>
        <v>5.5961563255439168</v>
      </c>
      <c r="U10" s="76" t="str">
        <f>IF(B10&gt;'Peajes Circular CNMC'!$C$23,'Peajes Circular CNMC'!$B$23,IF(B10&gt;'Peajes Circular CNMC'!$C$22,'Peajes Circular CNMC'!$B$22,IF(B10&gt;'Peajes Circular CNMC'!$C$21,'Peajes Circular CNMC'!$B$21,IF(B10&gt;'Peajes Circular CNMC'!$C$20,'Peajes Circular CNMC'!$B$20,IF(B10&gt;'Peajes Circular CNMC'!$C$19,'Peajes Circular CNMC'!$B$19,IF(B10&gt;'Peajes Circular CNMC'!$C$18,'Peajes Circular CNMC'!$B$18,IF(B10&gt;'Peajes Circular CNMC'!$C$17,'Peajes Circular CNMC'!$B$17,IF(B10&gt;'Peajes Circular CNMC'!$C$16,'Peajes Circular CNMC'!$B$16,IF(B10&gt;'Peajes Circular CNMC'!$C$15,'Peajes Circular CNMC'!$B$15,IF(B10&gt;'Peajes Circular CNMC'!$C$14,'Peajes Circular CNMC'!$B$14,'Peajes Circular CNMC'!$B$13))))))))))</f>
        <v>D.7</v>
      </c>
      <c r="V10" s="96">
        <f>'Peajes Circular CNMC'!$H$30</f>
        <v>29.867609999999999</v>
      </c>
      <c r="W10" s="88">
        <f>'Peajes Circular CNMC'!$I$30</f>
        <v>0.15190999999999999</v>
      </c>
      <c r="X10" s="123">
        <f>12*V10*D10</f>
        <v>9530.679742143433</v>
      </c>
      <c r="Y10" s="123">
        <f>W10*B10</f>
        <v>1253.2574999999999</v>
      </c>
      <c r="Z10" s="122">
        <f>X10+Y10</f>
        <v>10783.937242143433</v>
      </c>
      <c r="AA10" s="88">
        <f>'Peajes Circular CNMC'!$H$35</f>
        <v>0.26106499999999999</v>
      </c>
      <c r="AB10" s="122">
        <f>B10*AA10</f>
        <v>2153.7862500000001</v>
      </c>
      <c r="AC10" s="97">
        <f>'Peajes Circular CNMC'!$J$6</f>
        <v>20.326666666666664</v>
      </c>
      <c r="AD10" s="97">
        <f>'Peajes Circular CNMC'!$J$7</f>
        <v>2.2599999999999999E-2</v>
      </c>
      <c r="AE10" s="123">
        <f>AC10*12*D10</f>
        <v>6486.1885576148252</v>
      </c>
      <c r="AF10" s="123">
        <f>AD10*B10</f>
        <v>186.45</v>
      </c>
      <c r="AG10" s="122">
        <f>AE10+AF10</f>
        <v>6672.638557614825</v>
      </c>
      <c r="AH10" s="97">
        <f>'Peajes Circular CNMC'!$K$6</f>
        <v>12.351666666666667</v>
      </c>
      <c r="AI10" s="97">
        <f>'Peajes Circular CNMC'!$K$7</f>
        <v>2.2599999999999999E-2</v>
      </c>
      <c r="AJ10" s="123">
        <f>AH10*12*D10</f>
        <v>3941.3859790491538</v>
      </c>
      <c r="AK10" s="123">
        <f>AI10*B10</f>
        <v>186.45</v>
      </c>
      <c r="AL10" s="122">
        <f>AJ10+AK10</f>
        <v>4127.835979049154</v>
      </c>
      <c r="AM10" s="98">
        <f>VLOOKUP(U10,'Peajes Circular CNMC'!$B$13:$J$23,7,FALSE)</f>
        <v>86.737500000000011</v>
      </c>
      <c r="AN10" s="87">
        <f>VLOOKUP(U10,'Peajes Circular CNMC'!$B$13:$J$23,8,FALSE)</f>
        <v>0</v>
      </c>
      <c r="AO10" s="87">
        <f>VLOOKUP(U10,'Peajes Circular CNMC'!$B$13:$J$23,9,FALSE)</f>
        <v>1.0900000000000001</v>
      </c>
      <c r="AP10" s="123">
        <f>12*AM10*D10</f>
        <v>27677.719580983081</v>
      </c>
      <c r="AQ10" s="123">
        <f>12*AN10</f>
        <v>0</v>
      </c>
      <c r="AR10" s="123">
        <f>AO10*B10</f>
        <v>8992.5</v>
      </c>
      <c r="AS10" s="122">
        <f>AP10+AQ10+AR10</f>
        <v>36670.219580983081</v>
      </c>
      <c r="AT10" s="124">
        <f>Z10+AB10+AG10+AL10+AS10</f>
        <v>60408.417609790493</v>
      </c>
      <c r="AU10" s="79">
        <f>AT10/B10</f>
        <v>7.3222324375503627</v>
      </c>
      <c r="AW10" s="75">
        <f>(Z10-J10)/J10</f>
        <v>0.49462615126062798</v>
      </c>
      <c r="AX10" s="100">
        <f>(AG10-L10)/L10</f>
        <v>0.92763374201081528</v>
      </c>
      <c r="AY10" s="100">
        <f>(AL10+AS10-Q10)/Q10</f>
        <v>0.14951365420729856</v>
      </c>
      <c r="AZ10" s="125">
        <f t="shared" ref="AZ10:AZ22" si="0">AT10-R10</f>
        <v>14240.12792405318</v>
      </c>
      <c r="BA10" s="100">
        <f t="shared" ref="BA10:BA22" si="1">AZ10/R10</f>
        <v>0.30843958095446533</v>
      </c>
      <c r="BB10" s="192">
        <f>AU10-S10</f>
        <v>1.7260761120064458</v>
      </c>
    </row>
    <row r="11" spans="2:54">
      <c r="B11" s="105">
        <v>8500</v>
      </c>
      <c r="C11" s="112">
        <f>IF($C$5&lt;&gt;"Memoria CNMC",$C$5,IF(B11&gt;'Tipología Clientes'!$C$16,'Tipología Clientes'!$L$16,IF(B11&gt;'Tipología Clientes'!$C$15,'Tipología Clientes'!$L$15,IF(B11&gt;'Tipología Clientes'!$C$14,'Tipología Clientes'!$L$14,IF(B11&gt;'Tipología Clientes'!$C$13,'Tipología Clientes'!$L$13,IF(B11&gt;'Tipología Clientes'!$C$12,'Tipología Clientes'!$L$12,IF(B11&gt;'Tipología Clientes'!$C$11,'Tipología Clientes'!$L$11,IF(B11&gt;'Tipología Clientes'!$C$10,'Tipología Clientes'!$L$10,IF(B11&gt;'Tipología Clientes'!$C$9,'Tipología Clientes'!$L$9,IF(B11&gt;'Tipología Clientes'!$C$8,'Tipología Clientes'!$L$8,IF(B11&gt;'Tipología Clientes'!$C$7,'Tipología Clientes'!$L$7,'Tipología Clientes'!$L$6)))))))))))</f>
        <v>0.85</v>
      </c>
      <c r="D11" s="113">
        <f t="shared" ref="D11:D22" si="2">B11/365/C11</f>
        <v>27.397260273972602</v>
      </c>
      <c r="E11" s="76" t="str">
        <f>IF(B11&gt;'Peajes Actuales'!$C$15,'Peajes Actuales'!$B$15,IF(B11&gt;'Peajes Actuales'!$C$14,'Peajes Actuales'!$B$14,IF(B11&gt;'Peajes Actuales'!$C$13,'Peajes Actuales'!$B$13,IF(B11&gt;'Peajes Actuales'!$C$12,'Peajes Actuales'!$B$12,'Peajes Actuales'!$B$11))))</f>
        <v>3.5</v>
      </c>
      <c r="F11" s="88">
        <f>'Peajes Actuales'!$H$29</f>
        <v>19.612000000000002</v>
      </c>
      <c r="G11" s="88">
        <f>'Peajes Actuales'!$I$29</f>
        <v>0.11599999999999999</v>
      </c>
      <c r="H11" s="123">
        <f t="shared" ref="H11:H22" si="3">D11*F11*12</f>
        <v>6447.7808219178096</v>
      </c>
      <c r="I11" s="123">
        <f t="shared" ref="I11:I22" si="4">B11*G11</f>
        <v>985.99999999999989</v>
      </c>
      <c r="J11" s="122">
        <f t="shared" ref="J11:J22" si="5">H11+I11</f>
        <v>7433.7808219178096</v>
      </c>
      <c r="K11" s="89">
        <f>'Peajes Actuales'!$I$5</f>
        <v>10.848000000000001</v>
      </c>
      <c r="L11" s="122">
        <f t="shared" ref="L11:L22" si="6">12*K11*D11</f>
        <v>3566.465753424658</v>
      </c>
      <c r="M11" s="90">
        <f>VLOOKUP(E11,'Peajes Actuales'!$B$15:$J$15,7,FALSE)</f>
        <v>59.258000000000003</v>
      </c>
      <c r="N11" s="90">
        <f>VLOOKUP(E11,'Peajes Actuales'!$B$15:$J$15,9,FALSE)</f>
        <v>2.0099999999999998</v>
      </c>
      <c r="O11" s="123">
        <f t="shared" ref="O11:O22" si="7">IF($D$6&lt;=0.3,M11*D11*12,(D11-$D$6*0.5*D11)*M11*12)</f>
        <v>19482.082191780824</v>
      </c>
      <c r="P11" s="123">
        <f t="shared" ref="P11:P22" si="8">B11*N11</f>
        <v>17085</v>
      </c>
      <c r="Q11" s="122">
        <f t="shared" ref="Q11:Q22" si="9">SUM(O11:P11)</f>
        <v>36567.082191780821</v>
      </c>
      <c r="R11" s="124">
        <f t="shared" ref="R11:R22" si="10">J11+L11+Q11</f>
        <v>47567.32876712329</v>
      </c>
      <c r="S11" s="79">
        <f t="shared" ref="S11:S22" si="11">R11/B11</f>
        <v>5.5961563255439168</v>
      </c>
      <c r="U11" s="76" t="str">
        <f>IF(B11&gt;'Peajes Circular CNMC'!$C$23,'Peajes Circular CNMC'!$B$23,IF(B11&gt;'Peajes Circular CNMC'!$C$22,'Peajes Circular CNMC'!$B$22,IF(B11&gt;'Peajes Circular CNMC'!$C$21,'Peajes Circular CNMC'!$B$21,IF(B11&gt;'Peajes Circular CNMC'!$C$20,'Peajes Circular CNMC'!$B$20,IF(B11&gt;'Peajes Circular CNMC'!$C$19,'Peajes Circular CNMC'!$B$19,IF(B11&gt;'Peajes Circular CNMC'!$C$18,'Peajes Circular CNMC'!$B$18,IF(B11&gt;'Peajes Circular CNMC'!$C$17,'Peajes Circular CNMC'!$B$17,IF(B11&gt;'Peajes Circular CNMC'!$C$16,'Peajes Circular CNMC'!$B$16,IF(B11&gt;'Peajes Circular CNMC'!$C$15,'Peajes Circular CNMC'!$B$15,IF(B11&gt;'Peajes Circular CNMC'!$C$14,'Peajes Circular CNMC'!$B$14,'Peajes Circular CNMC'!$B$13))))))))))</f>
        <v>D.7</v>
      </c>
      <c r="V11" s="96">
        <f>'Peajes Circular CNMC'!$H$30</f>
        <v>29.867609999999999</v>
      </c>
      <c r="W11" s="88">
        <f>'Peajes Circular CNMC'!$I$30</f>
        <v>0.15190999999999999</v>
      </c>
      <c r="X11" s="123">
        <f t="shared" ref="X11:X22" si="12">12*V11*D11</f>
        <v>9819.4882191780816</v>
      </c>
      <c r="Y11" s="123">
        <f t="shared" ref="Y11:Y22" si="13">W11*B11</f>
        <v>1291.2349999999999</v>
      </c>
      <c r="Z11" s="122">
        <f t="shared" ref="Z11:Z22" si="14">X11+Y11</f>
        <v>11110.723219178082</v>
      </c>
      <c r="AA11" s="88">
        <f>'Peajes Circular CNMC'!$H$35</f>
        <v>0.26106499999999999</v>
      </c>
      <c r="AB11" s="122">
        <f t="shared" ref="AB11:AB22" si="15">B11*AA11</f>
        <v>2219.0524999999998</v>
      </c>
      <c r="AC11" s="97">
        <f>'Peajes Circular CNMC'!$J$6</f>
        <v>20.326666666666664</v>
      </c>
      <c r="AD11" s="97">
        <f>'Peajes Circular CNMC'!$J$7</f>
        <v>2.2599999999999999E-2</v>
      </c>
      <c r="AE11" s="123">
        <f t="shared" ref="AE11:AE22" si="16">AC11*12*D11</f>
        <v>6682.7397260273956</v>
      </c>
      <c r="AF11" s="123">
        <f t="shared" ref="AF11:AF22" si="17">AD11*B11</f>
        <v>192.1</v>
      </c>
      <c r="AG11" s="122">
        <f t="shared" ref="AG11:AG22" si="18">AE11+AF11</f>
        <v>6874.839726027396</v>
      </c>
      <c r="AH11" s="97">
        <f>'Peajes Circular CNMC'!$K$6</f>
        <v>12.351666666666667</v>
      </c>
      <c r="AI11" s="97">
        <f>'Peajes Circular CNMC'!$K$7</f>
        <v>2.2599999999999999E-2</v>
      </c>
      <c r="AJ11" s="123">
        <f t="shared" ref="AJ11:AJ22" si="19">AH11*12*D11</f>
        <v>4060.821917808219</v>
      </c>
      <c r="AK11" s="123">
        <f t="shared" ref="AK11:AK22" si="20">AI11*B11</f>
        <v>192.1</v>
      </c>
      <c r="AL11" s="122">
        <f t="shared" ref="AL11:AL22" si="21">AJ11+AK11</f>
        <v>4252.9219178082194</v>
      </c>
      <c r="AM11" s="98">
        <f>VLOOKUP(U11,'Peajes Circular CNMC'!$B$13:$J$23,7,FALSE)</f>
        <v>86.737500000000011</v>
      </c>
      <c r="AN11" s="87">
        <f>VLOOKUP(U11,'Peajes Circular CNMC'!$B$13:$J$23,8,FALSE)</f>
        <v>0</v>
      </c>
      <c r="AO11" s="87">
        <f>VLOOKUP(U11,'Peajes Circular CNMC'!$B$13:$J$23,9,FALSE)</f>
        <v>1.0900000000000001</v>
      </c>
      <c r="AP11" s="123">
        <f t="shared" ref="AP11:AP22" si="22">12*AM11*D11</f>
        <v>28516.438356164388</v>
      </c>
      <c r="AQ11" s="123">
        <f t="shared" ref="AQ11:AQ22" si="23">12*AN11</f>
        <v>0</v>
      </c>
      <c r="AR11" s="123">
        <f t="shared" ref="AR11:AR22" si="24">AO11*B11</f>
        <v>9265</v>
      </c>
      <c r="AS11" s="122">
        <f t="shared" ref="AS11:AS22" si="25">AP11+AQ11+AR11</f>
        <v>37781.438356164392</v>
      </c>
      <c r="AT11" s="124">
        <f t="shared" ref="AT11:AT22" si="26">Z11+AB11+AG11+AL11+AS11</f>
        <v>62238.975719178088</v>
      </c>
      <c r="AU11" s="79">
        <f t="shared" ref="AU11:AU22" si="27">AT11/B11</f>
        <v>7.3222324375503636</v>
      </c>
      <c r="AW11" s="75">
        <f t="shared" ref="AW11:AW22" si="28">(Z11-J11)/J11</f>
        <v>0.49462615126062781</v>
      </c>
      <c r="AX11" s="100">
        <f t="shared" ref="AX11:AX22" si="29">(AG11-L11)/L11</f>
        <v>0.9276337420108155</v>
      </c>
      <c r="AY11" s="100">
        <f t="shared" ref="AY11:AY22" si="30">(AL11+AS11-Q11)/Q11</f>
        <v>0.14951365420729879</v>
      </c>
      <c r="AZ11" s="125">
        <f t="shared" si="0"/>
        <v>14671.646952054798</v>
      </c>
      <c r="BA11" s="100">
        <f t="shared" si="1"/>
        <v>0.30843958095446544</v>
      </c>
      <c r="BB11" s="192">
        <f t="shared" ref="BB11:BB22" si="31">AU11-S11</f>
        <v>1.7260761120064467</v>
      </c>
    </row>
    <row r="12" spans="2:54">
      <c r="B12" s="105">
        <v>9000</v>
      </c>
      <c r="C12" s="112">
        <f>IF($C$5&lt;&gt;"Memoria CNMC",$C$5,IF(B12&gt;'Tipología Clientes'!$C$16,'Tipología Clientes'!$L$16,IF(B12&gt;'Tipología Clientes'!$C$15,'Tipología Clientes'!$L$15,IF(B12&gt;'Tipología Clientes'!$C$14,'Tipología Clientes'!$L$14,IF(B12&gt;'Tipología Clientes'!$C$13,'Tipología Clientes'!$L$13,IF(B12&gt;'Tipología Clientes'!$C$12,'Tipología Clientes'!$L$12,IF(B12&gt;'Tipología Clientes'!$C$11,'Tipología Clientes'!$L$11,IF(B12&gt;'Tipología Clientes'!$C$10,'Tipología Clientes'!$L$10,IF(B12&gt;'Tipología Clientes'!$C$9,'Tipología Clientes'!$L$9,IF(B12&gt;'Tipología Clientes'!$C$8,'Tipología Clientes'!$L$8,IF(B12&gt;'Tipología Clientes'!$C$7,'Tipología Clientes'!$L$7,'Tipología Clientes'!$L$6)))))))))))</f>
        <v>0.85</v>
      </c>
      <c r="D12" s="113">
        <f t="shared" si="2"/>
        <v>29.008863819500402</v>
      </c>
      <c r="E12" s="76" t="str">
        <f>IF(B12&gt;'Peajes Actuales'!$C$15,'Peajes Actuales'!$B$15,IF(B12&gt;'Peajes Actuales'!$C$14,'Peajes Actuales'!$B$14,IF(B12&gt;'Peajes Actuales'!$C$13,'Peajes Actuales'!$B$13,IF(B12&gt;'Peajes Actuales'!$C$12,'Peajes Actuales'!$B$12,'Peajes Actuales'!$B$11))))</f>
        <v>3.5</v>
      </c>
      <c r="F12" s="88">
        <f>'Peajes Actuales'!$H$29</f>
        <v>19.612000000000002</v>
      </c>
      <c r="G12" s="88">
        <f>'Peajes Actuales'!$I$29</f>
        <v>0.11599999999999999</v>
      </c>
      <c r="H12" s="123">
        <f t="shared" si="3"/>
        <v>6827.0620467365025</v>
      </c>
      <c r="I12" s="123">
        <f t="shared" si="4"/>
        <v>1044</v>
      </c>
      <c r="J12" s="122">
        <f t="shared" si="5"/>
        <v>7871.0620467365025</v>
      </c>
      <c r="K12" s="89">
        <f>'Peajes Actuales'!$I$5</f>
        <v>10.848000000000001</v>
      </c>
      <c r="L12" s="122">
        <f t="shared" si="6"/>
        <v>3776.2578565672848</v>
      </c>
      <c r="M12" s="90">
        <f>VLOOKUP(E12,'Peajes Actuales'!$B$15:$J$15,7,FALSE)</f>
        <v>59.258000000000003</v>
      </c>
      <c r="N12" s="90">
        <f>VLOOKUP(E12,'Peajes Actuales'!$B$15:$J$15,9,FALSE)</f>
        <v>2.0099999999999998</v>
      </c>
      <c r="O12" s="123">
        <f t="shared" si="7"/>
        <v>20628.087026591456</v>
      </c>
      <c r="P12" s="123">
        <f t="shared" si="8"/>
        <v>18089.999999999996</v>
      </c>
      <c r="Q12" s="122">
        <f t="shared" si="9"/>
        <v>38718.087026591456</v>
      </c>
      <c r="R12" s="124">
        <f t="shared" si="10"/>
        <v>50365.406929895245</v>
      </c>
      <c r="S12" s="79">
        <f t="shared" si="11"/>
        <v>5.596156325543916</v>
      </c>
      <c r="U12" s="76" t="str">
        <f>IF(B12&gt;'Peajes Circular CNMC'!$C$23,'Peajes Circular CNMC'!$B$23,IF(B12&gt;'Peajes Circular CNMC'!$C$22,'Peajes Circular CNMC'!$B$22,IF(B12&gt;'Peajes Circular CNMC'!$C$21,'Peajes Circular CNMC'!$B$21,IF(B12&gt;'Peajes Circular CNMC'!$C$20,'Peajes Circular CNMC'!$B$20,IF(B12&gt;'Peajes Circular CNMC'!$C$19,'Peajes Circular CNMC'!$B$19,IF(B12&gt;'Peajes Circular CNMC'!$C$18,'Peajes Circular CNMC'!$B$18,IF(B12&gt;'Peajes Circular CNMC'!$C$17,'Peajes Circular CNMC'!$B$17,IF(B12&gt;'Peajes Circular CNMC'!$C$16,'Peajes Circular CNMC'!$B$16,IF(B12&gt;'Peajes Circular CNMC'!$C$15,'Peajes Circular CNMC'!$B$15,IF(B12&gt;'Peajes Circular CNMC'!$C$14,'Peajes Circular CNMC'!$B$14,'Peajes Circular CNMC'!$B$13))))))))))</f>
        <v>D.7</v>
      </c>
      <c r="V12" s="96">
        <f>'Peajes Circular CNMC'!$H$30</f>
        <v>29.867609999999999</v>
      </c>
      <c r="W12" s="88">
        <f>'Peajes Circular CNMC'!$I$30</f>
        <v>0.15190999999999999</v>
      </c>
      <c r="X12" s="123">
        <f t="shared" si="12"/>
        <v>10397.105173247381</v>
      </c>
      <c r="Y12" s="123">
        <f t="shared" si="13"/>
        <v>1367.1899999999998</v>
      </c>
      <c r="Z12" s="122">
        <f t="shared" si="14"/>
        <v>11764.295173247381</v>
      </c>
      <c r="AA12" s="88">
        <f>'Peajes Circular CNMC'!$H$35</f>
        <v>0.26106499999999999</v>
      </c>
      <c r="AB12" s="122">
        <f t="shared" si="15"/>
        <v>2349.585</v>
      </c>
      <c r="AC12" s="97">
        <f>'Peajes Circular CNMC'!$J$6</f>
        <v>20.326666666666664</v>
      </c>
      <c r="AD12" s="97">
        <f>'Peajes Circular CNMC'!$J$7</f>
        <v>2.2599999999999999E-2</v>
      </c>
      <c r="AE12" s="123">
        <f t="shared" si="16"/>
        <v>7075.8420628525364</v>
      </c>
      <c r="AF12" s="123">
        <f t="shared" si="17"/>
        <v>203.39999999999998</v>
      </c>
      <c r="AG12" s="122">
        <f t="shared" si="18"/>
        <v>7279.242062852536</v>
      </c>
      <c r="AH12" s="97">
        <f>'Peajes Circular CNMC'!$K$6</f>
        <v>12.351666666666667</v>
      </c>
      <c r="AI12" s="97">
        <f>'Peajes Circular CNMC'!$K$7</f>
        <v>2.2599999999999999E-2</v>
      </c>
      <c r="AJ12" s="123">
        <f t="shared" si="19"/>
        <v>4299.6937953263496</v>
      </c>
      <c r="AK12" s="123">
        <f t="shared" si="20"/>
        <v>203.39999999999998</v>
      </c>
      <c r="AL12" s="122">
        <f t="shared" si="21"/>
        <v>4503.0937953263492</v>
      </c>
      <c r="AM12" s="98">
        <f>VLOOKUP(U12,'Peajes Circular CNMC'!$B$13:$J$23,7,FALSE)</f>
        <v>86.737500000000011</v>
      </c>
      <c r="AN12" s="87">
        <f>VLOOKUP(U12,'Peajes Circular CNMC'!$B$13:$J$23,8,FALSE)</f>
        <v>0</v>
      </c>
      <c r="AO12" s="87">
        <f>VLOOKUP(U12,'Peajes Circular CNMC'!$B$13:$J$23,9,FALSE)</f>
        <v>1.0900000000000001</v>
      </c>
      <c r="AP12" s="123">
        <f t="shared" si="22"/>
        <v>30193.875906526999</v>
      </c>
      <c r="AQ12" s="123">
        <f t="shared" si="23"/>
        <v>0</v>
      </c>
      <c r="AR12" s="123">
        <f t="shared" si="24"/>
        <v>9810</v>
      </c>
      <c r="AS12" s="122">
        <f t="shared" si="25"/>
        <v>40003.875906526999</v>
      </c>
      <c r="AT12" s="124">
        <f t="shared" si="26"/>
        <v>65900.091937953257</v>
      </c>
      <c r="AU12" s="79">
        <f t="shared" si="27"/>
        <v>7.3222324375503618</v>
      </c>
      <c r="AW12" s="75">
        <f t="shared" si="28"/>
        <v>0.49462615126062814</v>
      </c>
      <c r="AX12" s="100">
        <f t="shared" si="29"/>
        <v>0.92763374201081539</v>
      </c>
      <c r="AY12" s="100">
        <f t="shared" si="30"/>
        <v>0.14951365420729867</v>
      </c>
      <c r="AZ12" s="125">
        <f t="shared" si="0"/>
        <v>15534.685008058012</v>
      </c>
      <c r="BA12" s="100">
        <f t="shared" si="1"/>
        <v>0.30843958095446528</v>
      </c>
      <c r="BB12" s="192">
        <f t="shared" si="31"/>
        <v>1.7260761120064458</v>
      </c>
    </row>
    <row r="13" spans="2:54">
      <c r="B13" s="105">
        <v>9500</v>
      </c>
      <c r="C13" s="112">
        <f>IF($C$5&lt;&gt;"Memoria CNMC",$C$5,IF(B13&gt;'Tipología Clientes'!$C$16,'Tipología Clientes'!$L$16,IF(B13&gt;'Tipología Clientes'!$C$15,'Tipología Clientes'!$L$15,IF(B13&gt;'Tipología Clientes'!$C$14,'Tipología Clientes'!$L$14,IF(B13&gt;'Tipología Clientes'!$C$13,'Tipología Clientes'!$L$13,IF(B13&gt;'Tipología Clientes'!$C$12,'Tipología Clientes'!$L$12,IF(B13&gt;'Tipología Clientes'!$C$11,'Tipología Clientes'!$L$11,IF(B13&gt;'Tipología Clientes'!$C$10,'Tipología Clientes'!$L$10,IF(B13&gt;'Tipología Clientes'!$C$9,'Tipología Clientes'!$L$9,IF(B13&gt;'Tipología Clientes'!$C$8,'Tipología Clientes'!$L$8,IF(B13&gt;'Tipología Clientes'!$C$7,'Tipología Clientes'!$L$7,'Tipología Clientes'!$L$6)))))))))))</f>
        <v>0.85</v>
      </c>
      <c r="D13" s="113">
        <f t="shared" si="2"/>
        <v>30.620467365028205</v>
      </c>
      <c r="E13" s="76" t="str">
        <f>IF(B13&gt;'Peajes Actuales'!$C$15,'Peajes Actuales'!$B$15,IF(B13&gt;'Peajes Actuales'!$C$14,'Peajes Actuales'!$B$14,IF(B13&gt;'Peajes Actuales'!$C$13,'Peajes Actuales'!$B$13,IF(B13&gt;'Peajes Actuales'!$C$12,'Peajes Actuales'!$B$12,'Peajes Actuales'!$B$11))))</f>
        <v>3.5</v>
      </c>
      <c r="F13" s="88">
        <f>'Peajes Actuales'!$H$29</f>
        <v>19.612000000000002</v>
      </c>
      <c r="G13" s="88">
        <f>'Peajes Actuales'!$I$29</f>
        <v>0.11599999999999999</v>
      </c>
      <c r="H13" s="123">
        <f t="shared" si="3"/>
        <v>7206.343271555198</v>
      </c>
      <c r="I13" s="123">
        <f t="shared" si="4"/>
        <v>1102</v>
      </c>
      <c r="J13" s="122">
        <f t="shared" si="5"/>
        <v>8308.3432715551971</v>
      </c>
      <c r="K13" s="89">
        <f>'Peajes Actuales'!$I$5</f>
        <v>10.848000000000001</v>
      </c>
      <c r="L13" s="122">
        <f t="shared" si="6"/>
        <v>3986.0499597099119</v>
      </c>
      <c r="M13" s="90">
        <f>VLOOKUP(E13,'Peajes Actuales'!$B$15:$J$15,7,FALSE)</f>
        <v>59.258000000000003</v>
      </c>
      <c r="N13" s="90">
        <f>VLOOKUP(E13,'Peajes Actuales'!$B$15:$J$15,9,FALSE)</f>
        <v>2.0099999999999998</v>
      </c>
      <c r="O13" s="123">
        <f t="shared" si="7"/>
        <v>21774.091861402099</v>
      </c>
      <c r="P13" s="123">
        <f t="shared" si="8"/>
        <v>19094.999999999996</v>
      </c>
      <c r="Q13" s="122">
        <f t="shared" si="9"/>
        <v>40869.091861402092</v>
      </c>
      <c r="R13" s="124">
        <f t="shared" si="10"/>
        <v>53163.485092667201</v>
      </c>
      <c r="S13" s="79">
        <f t="shared" si="11"/>
        <v>5.596156325543916</v>
      </c>
      <c r="U13" s="76" t="str">
        <f>IF(B13&gt;'Peajes Circular CNMC'!$C$23,'Peajes Circular CNMC'!$B$23,IF(B13&gt;'Peajes Circular CNMC'!$C$22,'Peajes Circular CNMC'!$B$22,IF(B13&gt;'Peajes Circular CNMC'!$C$21,'Peajes Circular CNMC'!$B$21,IF(B13&gt;'Peajes Circular CNMC'!$C$20,'Peajes Circular CNMC'!$B$20,IF(B13&gt;'Peajes Circular CNMC'!$C$19,'Peajes Circular CNMC'!$B$19,IF(B13&gt;'Peajes Circular CNMC'!$C$18,'Peajes Circular CNMC'!$B$18,IF(B13&gt;'Peajes Circular CNMC'!$C$17,'Peajes Circular CNMC'!$B$17,IF(B13&gt;'Peajes Circular CNMC'!$C$16,'Peajes Circular CNMC'!$B$16,IF(B13&gt;'Peajes Circular CNMC'!$C$15,'Peajes Circular CNMC'!$B$15,IF(B13&gt;'Peajes Circular CNMC'!$C$14,'Peajes Circular CNMC'!$B$14,'Peajes Circular CNMC'!$B$13))))))))))</f>
        <v>D.7</v>
      </c>
      <c r="V13" s="96">
        <f>'Peajes Circular CNMC'!$H$30</f>
        <v>29.867609999999999</v>
      </c>
      <c r="W13" s="88">
        <f>'Peajes Circular CNMC'!$I$30</f>
        <v>0.15190999999999999</v>
      </c>
      <c r="X13" s="123">
        <f t="shared" si="12"/>
        <v>10974.72212731668</v>
      </c>
      <c r="Y13" s="123">
        <f t="shared" si="13"/>
        <v>1443.145</v>
      </c>
      <c r="Z13" s="122">
        <f t="shared" si="14"/>
        <v>12417.86712731668</v>
      </c>
      <c r="AA13" s="88">
        <f>'Peajes Circular CNMC'!$H$35</f>
        <v>0.26106499999999999</v>
      </c>
      <c r="AB13" s="122">
        <f t="shared" si="15"/>
        <v>2480.1174999999998</v>
      </c>
      <c r="AC13" s="97">
        <f>'Peajes Circular CNMC'!$J$6</f>
        <v>20.326666666666664</v>
      </c>
      <c r="AD13" s="97">
        <f>'Peajes Circular CNMC'!$J$7</f>
        <v>2.2599999999999999E-2</v>
      </c>
      <c r="AE13" s="123">
        <f t="shared" si="16"/>
        <v>7468.9443996776781</v>
      </c>
      <c r="AF13" s="123">
        <f t="shared" si="17"/>
        <v>214.7</v>
      </c>
      <c r="AG13" s="122">
        <f t="shared" si="18"/>
        <v>7683.6443996776779</v>
      </c>
      <c r="AH13" s="97">
        <f>'Peajes Circular CNMC'!$K$6</f>
        <v>12.351666666666667</v>
      </c>
      <c r="AI13" s="97">
        <f>'Peajes Circular CNMC'!$K$7</f>
        <v>2.2599999999999999E-2</v>
      </c>
      <c r="AJ13" s="123">
        <f t="shared" si="19"/>
        <v>4538.5656728444801</v>
      </c>
      <c r="AK13" s="123">
        <f t="shared" si="20"/>
        <v>214.7</v>
      </c>
      <c r="AL13" s="122">
        <f t="shared" si="21"/>
        <v>4753.2656728444799</v>
      </c>
      <c r="AM13" s="98">
        <f>VLOOKUP(U13,'Peajes Circular CNMC'!$B$13:$J$23,7,FALSE)</f>
        <v>86.737500000000011</v>
      </c>
      <c r="AN13" s="87">
        <f>VLOOKUP(U13,'Peajes Circular CNMC'!$B$13:$J$23,8,FALSE)</f>
        <v>0</v>
      </c>
      <c r="AO13" s="87">
        <f>VLOOKUP(U13,'Peajes Circular CNMC'!$B$13:$J$23,9,FALSE)</f>
        <v>1.0900000000000001</v>
      </c>
      <c r="AP13" s="123">
        <f t="shared" si="22"/>
        <v>31871.313456889609</v>
      </c>
      <c r="AQ13" s="123">
        <f t="shared" si="23"/>
        <v>0</v>
      </c>
      <c r="AR13" s="123">
        <f t="shared" si="24"/>
        <v>10355</v>
      </c>
      <c r="AS13" s="122">
        <f t="shared" si="25"/>
        <v>42226.313456889606</v>
      </c>
      <c r="AT13" s="124">
        <f t="shared" si="26"/>
        <v>69561.208156728448</v>
      </c>
      <c r="AU13" s="79">
        <f t="shared" si="27"/>
        <v>7.3222324375503627</v>
      </c>
      <c r="AW13" s="75">
        <f t="shared" si="28"/>
        <v>0.49462615126062814</v>
      </c>
      <c r="AX13" s="100">
        <f t="shared" si="29"/>
        <v>0.9276337420108155</v>
      </c>
      <c r="AY13" s="100">
        <f t="shared" si="30"/>
        <v>0.14951365420729856</v>
      </c>
      <c r="AZ13" s="125">
        <f t="shared" si="0"/>
        <v>16397.723064061247</v>
      </c>
      <c r="BA13" s="100">
        <f t="shared" si="1"/>
        <v>0.30843958095446555</v>
      </c>
      <c r="BB13" s="192">
        <f t="shared" si="31"/>
        <v>1.7260761120064467</v>
      </c>
    </row>
    <row r="14" spans="2:54">
      <c r="B14" s="105">
        <v>10000</v>
      </c>
      <c r="C14" s="112">
        <f>IF($C$5&lt;&gt;"Memoria CNMC",$C$5,IF(B14&gt;'Tipología Clientes'!$C$16,'Tipología Clientes'!$L$16,IF(B14&gt;'Tipología Clientes'!$C$15,'Tipología Clientes'!$L$15,IF(B14&gt;'Tipología Clientes'!$C$14,'Tipología Clientes'!$L$14,IF(B14&gt;'Tipología Clientes'!$C$13,'Tipología Clientes'!$L$13,IF(B14&gt;'Tipología Clientes'!$C$12,'Tipología Clientes'!$L$12,IF(B14&gt;'Tipología Clientes'!$C$11,'Tipología Clientes'!$L$11,IF(B14&gt;'Tipología Clientes'!$C$10,'Tipología Clientes'!$L$10,IF(B14&gt;'Tipología Clientes'!$C$9,'Tipología Clientes'!$L$9,IF(B14&gt;'Tipología Clientes'!$C$8,'Tipología Clientes'!$L$8,IF(B14&gt;'Tipología Clientes'!$C$7,'Tipología Clientes'!$L$7,'Tipología Clientes'!$L$6)))))))))))</f>
        <v>0.85</v>
      </c>
      <c r="D14" s="113">
        <f t="shared" si="2"/>
        <v>32.232070910556004</v>
      </c>
      <c r="E14" s="76" t="str">
        <f>IF(B14&gt;'Peajes Actuales'!$C$15,'Peajes Actuales'!$B$15,IF(B14&gt;'Peajes Actuales'!$C$14,'Peajes Actuales'!$B$14,IF(B14&gt;'Peajes Actuales'!$C$13,'Peajes Actuales'!$B$13,IF(B14&gt;'Peajes Actuales'!$C$12,'Peajes Actuales'!$B$12,'Peajes Actuales'!$B$11))))</f>
        <v>3.5</v>
      </c>
      <c r="F14" s="88">
        <f>'Peajes Actuales'!$H$29</f>
        <v>19.612000000000002</v>
      </c>
      <c r="G14" s="88">
        <f>'Peajes Actuales'!$I$29</f>
        <v>0.11599999999999999</v>
      </c>
      <c r="H14" s="123">
        <f t="shared" si="3"/>
        <v>7585.6244963738936</v>
      </c>
      <c r="I14" s="123">
        <f t="shared" si="4"/>
        <v>1160</v>
      </c>
      <c r="J14" s="122">
        <f t="shared" si="5"/>
        <v>8745.6244963738936</v>
      </c>
      <c r="K14" s="89">
        <f>'Peajes Actuales'!$I$5</f>
        <v>10.848000000000001</v>
      </c>
      <c r="L14" s="122">
        <f t="shared" si="6"/>
        <v>4195.8420628525391</v>
      </c>
      <c r="M14" s="90">
        <f>VLOOKUP(E14,'Peajes Actuales'!$B$15:$J$15,7,FALSE)</f>
        <v>59.258000000000003</v>
      </c>
      <c r="N14" s="90">
        <f>VLOOKUP(E14,'Peajes Actuales'!$B$15:$J$15,9,FALSE)</f>
        <v>2.0099999999999998</v>
      </c>
      <c r="O14" s="123">
        <f t="shared" si="7"/>
        <v>22920.096696212735</v>
      </c>
      <c r="P14" s="123">
        <f t="shared" si="8"/>
        <v>20099.999999999996</v>
      </c>
      <c r="Q14" s="122">
        <f t="shared" si="9"/>
        <v>43020.096696212728</v>
      </c>
      <c r="R14" s="124">
        <f t="shared" si="10"/>
        <v>55961.563255439163</v>
      </c>
      <c r="S14" s="79">
        <f t="shared" si="11"/>
        <v>5.596156325543916</v>
      </c>
      <c r="U14" s="76" t="str">
        <f>IF(B14&gt;'Peajes Circular CNMC'!$C$23,'Peajes Circular CNMC'!$B$23,IF(B14&gt;'Peajes Circular CNMC'!$C$22,'Peajes Circular CNMC'!$B$22,IF(B14&gt;'Peajes Circular CNMC'!$C$21,'Peajes Circular CNMC'!$B$21,IF(B14&gt;'Peajes Circular CNMC'!$C$20,'Peajes Circular CNMC'!$B$20,IF(B14&gt;'Peajes Circular CNMC'!$C$19,'Peajes Circular CNMC'!$B$19,IF(B14&gt;'Peajes Circular CNMC'!$C$18,'Peajes Circular CNMC'!$B$18,IF(B14&gt;'Peajes Circular CNMC'!$C$17,'Peajes Circular CNMC'!$B$17,IF(B14&gt;'Peajes Circular CNMC'!$C$16,'Peajes Circular CNMC'!$B$16,IF(B14&gt;'Peajes Circular CNMC'!$C$15,'Peajes Circular CNMC'!$B$15,IF(B14&gt;'Peajes Circular CNMC'!$C$14,'Peajes Circular CNMC'!$B$14,'Peajes Circular CNMC'!$B$13))))))))))</f>
        <v>D.7</v>
      </c>
      <c r="V14" s="96">
        <f>'Peajes Circular CNMC'!$H$30</f>
        <v>29.867609999999999</v>
      </c>
      <c r="W14" s="88">
        <f>'Peajes Circular CNMC'!$I$30</f>
        <v>0.15190999999999999</v>
      </c>
      <c r="X14" s="123">
        <f t="shared" si="12"/>
        <v>11552.339081385979</v>
      </c>
      <c r="Y14" s="123">
        <f t="shared" si="13"/>
        <v>1519.1</v>
      </c>
      <c r="Z14" s="122">
        <f t="shared" si="14"/>
        <v>13071.439081385979</v>
      </c>
      <c r="AA14" s="88">
        <f>'Peajes Circular CNMC'!$H$35</f>
        <v>0.26106499999999999</v>
      </c>
      <c r="AB14" s="122">
        <f t="shared" si="15"/>
        <v>2610.65</v>
      </c>
      <c r="AC14" s="97">
        <f>'Peajes Circular CNMC'!$J$6</f>
        <v>20.326666666666664</v>
      </c>
      <c r="AD14" s="97">
        <f>'Peajes Circular CNMC'!$J$7</f>
        <v>2.2599999999999999E-2</v>
      </c>
      <c r="AE14" s="123">
        <f t="shared" si="16"/>
        <v>7862.0467365028189</v>
      </c>
      <c r="AF14" s="123">
        <f t="shared" si="17"/>
        <v>225.99999999999997</v>
      </c>
      <c r="AG14" s="122">
        <f t="shared" si="18"/>
        <v>8088.0467365028189</v>
      </c>
      <c r="AH14" s="97">
        <f>'Peajes Circular CNMC'!$K$6</f>
        <v>12.351666666666667</v>
      </c>
      <c r="AI14" s="97">
        <f>'Peajes Circular CNMC'!$K$7</f>
        <v>2.2599999999999999E-2</v>
      </c>
      <c r="AJ14" s="123">
        <f t="shared" si="19"/>
        <v>4777.4375503626106</v>
      </c>
      <c r="AK14" s="123">
        <f t="shared" si="20"/>
        <v>225.99999999999997</v>
      </c>
      <c r="AL14" s="122">
        <f t="shared" si="21"/>
        <v>5003.4375503626106</v>
      </c>
      <c r="AM14" s="98">
        <f>VLOOKUP(U14,'Peajes Circular CNMC'!$B$13:$J$23,7,FALSE)</f>
        <v>86.737500000000011</v>
      </c>
      <c r="AN14" s="87">
        <f>VLOOKUP(U14,'Peajes Circular CNMC'!$B$13:$J$23,8,FALSE)</f>
        <v>0</v>
      </c>
      <c r="AO14" s="87">
        <f>VLOOKUP(U14,'Peajes Circular CNMC'!$B$13:$J$23,9,FALSE)</f>
        <v>1.0900000000000001</v>
      </c>
      <c r="AP14" s="123">
        <f t="shared" si="22"/>
        <v>33548.75100725222</v>
      </c>
      <c r="AQ14" s="123">
        <f t="shared" si="23"/>
        <v>0</v>
      </c>
      <c r="AR14" s="123">
        <f t="shared" si="24"/>
        <v>10900</v>
      </c>
      <c r="AS14" s="122">
        <f t="shared" si="25"/>
        <v>44448.75100725222</v>
      </c>
      <c r="AT14" s="124">
        <f t="shared" si="26"/>
        <v>73222.324375503624</v>
      </c>
      <c r="AU14" s="79">
        <f t="shared" si="27"/>
        <v>7.3222324375503627</v>
      </c>
      <c r="AW14" s="75">
        <f t="shared" si="28"/>
        <v>0.49462615126062781</v>
      </c>
      <c r="AX14" s="100">
        <f t="shared" si="29"/>
        <v>0.92763374201081539</v>
      </c>
      <c r="AY14" s="100">
        <f t="shared" si="30"/>
        <v>0.14951365420729879</v>
      </c>
      <c r="AZ14" s="125">
        <f t="shared" si="0"/>
        <v>17260.761120064461</v>
      </c>
      <c r="BA14" s="100">
        <f t="shared" si="1"/>
        <v>0.30843958095446533</v>
      </c>
      <c r="BB14" s="192">
        <f t="shared" si="31"/>
        <v>1.7260761120064467</v>
      </c>
    </row>
    <row r="15" spans="2:54">
      <c r="B15" s="105">
        <v>12500</v>
      </c>
      <c r="C15" s="112">
        <f>IF($C$5&lt;&gt;"Memoria CNMC",$C$5,IF(B15&gt;'Tipología Clientes'!$C$16,'Tipología Clientes'!$L$16,IF(B15&gt;'Tipología Clientes'!$C$15,'Tipología Clientes'!$L$15,IF(B15&gt;'Tipología Clientes'!$C$14,'Tipología Clientes'!$L$14,IF(B15&gt;'Tipología Clientes'!$C$13,'Tipología Clientes'!$L$13,IF(B15&gt;'Tipología Clientes'!$C$12,'Tipología Clientes'!$L$12,IF(B15&gt;'Tipología Clientes'!$C$11,'Tipología Clientes'!$L$11,IF(B15&gt;'Tipología Clientes'!$C$10,'Tipología Clientes'!$L$10,IF(B15&gt;'Tipología Clientes'!$C$9,'Tipología Clientes'!$L$9,IF(B15&gt;'Tipología Clientes'!$C$8,'Tipología Clientes'!$L$8,IF(B15&gt;'Tipología Clientes'!$C$7,'Tipología Clientes'!$L$7,'Tipología Clientes'!$L$6)))))))))))</f>
        <v>0.85</v>
      </c>
      <c r="D15" s="113">
        <f t="shared" si="2"/>
        <v>40.290088638195009</v>
      </c>
      <c r="E15" s="76" t="str">
        <f>IF(B15&gt;'Peajes Actuales'!$C$15,'Peajes Actuales'!$B$15,IF(B15&gt;'Peajes Actuales'!$C$14,'Peajes Actuales'!$B$14,IF(B15&gt;'Peajes Actuales'!$C$13,'Peajes Actuales'!$B$13,IF(B15&gt;'Peajes Actuales'!$C$12,'Peajes Actuales'!$B$12,'Peajes Actuales'!$B$11))))</f>
        <v>3.5</v>
      </c>
      <c r="F15" s="88">
        <f>'Peajes Actuales'!$H$29</f>
        <v>19.612000000000002</v>
      </c>
      <c r="G15" s="88">
        <f>'Peajes Actuales'!$I$29</f>
        <v>0.11599999999999999</v>
      </c>
      <c r="H15" s="123">
        <f t="shared" si="3"/>
        <v>9482.030620467367</v>
      </c>
      <c r="I15" s="123">
        <f t="shared" si="4"/>
        <v>1450</v>
      </c>
      <c r="J15" s="122">
        <f t="shared" si="5"/>
        <v>10932.030620467367</v>
      </c>
      <c r="K15" s="89">
        <f>'Peajes Actuales'!$I$5</f>
        <v>10.848000000000001</v>
      </c>
      <c r="L15" s="122">
        <f t="shared" si="6"/>
        <v>5244.8025785656737</v>
      </c>
      <c r="M15" s="90">
        <f>VLOOKUP(E15,'Peajes Actuales'!$B$15:$J$15,7,FALSE)</f>
        <v>59.258000000000003</v>
      </c>
      <c r="N15" s="90">
        <f>VLOOKUP(E15,'Peajes Actuales'!$B$15:$J$15,9,FALSE)</f>
        <v>2.0099999999999998</v>
      </c>
      <c r="O15" s="123">
        <f t="shared" si="7"/>
        <v>28650.120870265921</v>
      </c>
      <c r="P15" s="123">
        <f t="shared" si="8"/>
        <v>25124.999999999996</v>
      </c>
      <c r="Q15" s="122">
        <f t="shared" si="9"/>
        <v>53775.120870265921</v>
      </c>
      <c r="R15" s="124">
        <f t="shared" si="10"/>
        <v>69951.954069298954</v>
      </c>
      <c r="S15" s="79">
        <f t="shared" si="11"/>
        <v>5.596156325543916</v>
      </c>
      <c r="U15" s="76" t="str">
        <f>IF(B15&gt;'Peajes Circular CNMC'!$C$23,'Peajes Circular CNMC'!$B$23,IF(B15&gt;'Peajes Circular CNMC'!$C$22,'Peajes Circular CNMC'!$B$22,IF(B15&gt;'Peajes Circular CNMC'!$C$21,'Peajes Circular CNMC'!$B$21,IF(B15&gt;'Peajes Circular CNMC'!$C$20,'Peajes Circular CNMC'!$B$20,IF(B15&gt;'Peajes Circular CNMC'!$C$19,'Peajes Circular CNMC'!$B$19,IF(B15&gt;'Peajes Circular CNMC'!$C$18,'Peajes Circular CNMC'!$B$18,IF(B15&gt;'Peajes Circular CNMC'!$C$17,'Peajes Circular CNMC'!$B$17,IF(B15&gt;'Peajes Circular CNMC'!$C$16,'Peajes Circular CNMC'!$B$16,IF(B15&gt;'Peajes Circular CNMC'!$C$15,'Peajes Circular CNMC'!$B$15,IF(B15&gt;'Peajes Circular CNMC'!$C$14,'Peajes Circular CNMC'!$B$14,'Peajes Circular CNMC'!$B$13))))))))))</f>
        <v>D.7</v>
      </c>
      <c r="V15" s="96">
        <f>'Peajes Circular CNMC'!$H$30</f>
        <v>29.867609999999999</v>
      </c>
      <c r="W15" s="88">
        <f>'Peajes Circular CNMC'!$I$30</f>
        <v>0.15190999999999999</v>
      </c>
      <c r="X15" s="123">
        <f t="shared" si="12"/>
        <v>14440.423851732476</v>
      </c>
      <c r="Y15" s="123">
        <f t="shared" si="13"/>
        <v>1898.8749999999998</v>
      </c>
      <c r="Z15" s="122">
        <f t="shared" si="14"/>
        <v>16339.298851732476</v>
      </c>
      <c r="AA15" s="88">
        <f>'Peajes Circular CNMC'!$H$35</f>
        <v>0.26106499999999999</v>
      </c>
      <c r="AB15" s="122">
        <f t="shared" si="15"/>
        <v>3263.3125</v>
      </c>
      <c r="AC15" s="97">
        <f>'Peajes Circular CNMC'!$J$6</f>
        <v>20.326666666666664</v>
      </c>
      <c r="AD15" s="97">
        <f>'Peajes Circular CNMC'!$J$7</f>
        <v>2.2599999999999999E-2</v>
      </c>
      <c r="AE15" s="123">
        <f t="shared" si="16"/>
        <v>9827.5584206285257</v>
      </c>
      <c r="AF15" s="123">
        <f t="shared" si="17"/>
        <v>282.5</v>
      </c>
      <c r="AG15" s="122">
        <f t="shared" si="18"/>
        <v>10110.058420628526</v>
      </c>
      <c r="AH15" s="97">
        <f>'Peajes Circular CNMC'!$K$6</f>
        <v>12.351666666666667</v>
      </c>
      <c r="AI15" s="97">
        <f>'Peajes Circular CNMC'!$K$7</f>
        <v>2.2599999999999999E-2</v>
      </c>
      <c r="AJ15" s="123">
        <f t="shared" si="19"/>
        <v>5971.7969379532642</v>
      </c>
      <c r="AK15" s="123">
        <f t="shared" si="20"/>
        <v>282.5</v>
      </c>
      <c r="AL15" s="122">
        <f t="shared" si="21"/>
        <v>6254.2969379532642</v>
      </c>
      <c r="AM15" s="98">
        <f>VLOOKUP(U15,'Peajes Circular CNMC'!$B$13:$J$23,7,FALSE)</f>
        <v>86.737500000000011</v>
      </c>
      <c r="AN15" s="87">
        <f>VLOOKUP(U15,'Peajes Circular CNMC'!$B$13:$J$23,8,FALSE)</f>
        <v>0</v>
      </c>
      <c r="AO15" s="87">
        <f>VLOOKUP(U15,'Peajes Circular CNMC'!$B$13:$J$23,9,FALSE)</f>
        <v>1.0900000000000001</v>
      </c>
      <c r="AP15" s="123">
        <f t="shared" si="22"/>
        <v>41935.938759065277</v>
      </c>
      <c r="AQ15" s="123">
        <f t="shared" si="23"/>
        <v>0</v>
      </c>
      <c r="AR15" s="123">
        <f t="shared" si="24"/>
        <v>13625.000000000002</v>
      </c>
      <c r="AS15" s="122">
        <f t="shared" si="25"/>
        <v>55560.938759065277</v>
      </c>
      <c r="AT15" s="124">
        <f t="shared" si="26"/>
        <v>91527.905469379548</v>
      </c>
      <c r="AU15" s="79">
        <f t="shared" si="27"/>
        <v>7.3222324375503636</v>
      </c>
      <c r="AW15" s="75">
        <f t="shared" si="28"/>
        <v>0.49462615126062798</v>
      </c>
      <c r="AX15" s="100">
        <f t="shared" si="29"/>
        <v>0.92763374201081583</v>
      </c>
      <c r="AY15" s="100">
        <f t="shared" si="30"/>
        <v>0.14951365420729856</v>
      </c>
      <c r="AZ15" s="125">
        <f t="shared" si="0"/>
        <v>21575.951400080594</v>
      </c>
      <c r="BA15" s="100">
        <f t="shared" si="1"/>
        <v>0.30843958095446561</v>
      </c>
      <c r="BB15" s="192">
        <f t="shared" si="31"/>
        <v>1.7260761120064476</v>
      </c>
    </row>
    <row r="16" spans="2:54">
      <c r="B16" s="105">
        <v>15000</v>
      </c>
      <c r="C16" s="112">
        <f>IF($C$5&lt;&gt;"Memoria CNMC",$C$5,IF(B16&gt;'Tipología Clientes'!$C$16,'Tipología Clientes'!$L$16,IF(B16&gt;'Tipología Clientes'!$C$15,'Tipología Clientes'!$L$15,IF(B16&gt;'Tipología Clientes'!$C$14,'Tipología Clientes'!$L$14,IF(B16&gt;'Tipología Clientes'!$C$13,'Tipología Clientes'!$L$13,IF(B16&gt;'Tipología Clientes'!$C$12,'Tipología Clientes'!$L$12,IF(B16&gt;'Tipología Clientes'!$C$11,'Tipología Clientes'!$L$11,IF(B16&gt;'Tipología Clientes'!$C$10,'Tipología Clientes'!$L$10,IF(B16&gt;'Tipología Clientes'!$C$9,'Tipología Clientes'!$L$9,IF(B16&gt;'Tipología Clientes'!$C$8,'Tipología Clientes'!$L$8,IF(B16&gt;'Tipología Clientes'!$C$7,'Tipología Clientes'!$L$7,'Tipología Clientes'!$L$6)))))))))))</f>
        <v>0.85</v>
      </c>
      <c r="D16" s="113">
        <f t="shared" si="2"/>
        <v>48.348106365834006</v>
      </c>
      <c r="E16" s="76" t="str">
        <f>IF(B16&gt;'Peajes Actuales'!$C$15,'Peajes Actuales'!$B$15,IF(B16&gt;'Peajes Actuales'!$C$14,'Peajes Actuales'!$B$14,IF(B16&gt;'Peajes Actuales'!$C$13,'Peajes Actuales'!$B$13,IF(B16&gt;'Peajes Actuales'!$C$12,'Peajes Actuales'!$B$12,'Peajes Actuales'!$B$11))))</f>
        <v>3.5</v>
      </c>
      <c r="F16" s="88">
        <f>'Peajes Actuales'!$H$29</f>
        <v>19.612000000000002</v>
      </c>
      <c r="G16" s="88">
        <f>'Peajes Actuales'!$I$29</f>
        <v>0.11599999999999999</v>
      </c>
      <c r="H16" s="123">
        <f t="shared" si="3"/>
        <v>11378.436744560839</v>
      </c>
      <c r="I16" s="123">
        <f t="shared" si="4"/>
        <v>1739.9999999999998</v>
      </c>
      <c r="J16" s="122">
        <f t="shared" si="5"/>
        <v>13118.436744560839</v>
      </c>
      <c r="K16" s="89">
        <f>'Peajes Actuales'!$I$5</f>
        <v>10.848000000000001</v>
      </c>
      <c r="L16" s="122">
        <f t="shared" si="6"/>
        <v>6293.7630942788082</v>
      </c>
      <c r="M16" s="90">
        <f>VLOOKUP(E16,'Peajes Actuales'!$B$15:$J$15,7,FALSE)</f>
        <v>59.258000000000003</v>
      </c>
      <c r="N16" s="90">
        <f>VLOOKUP(E16,'Peajes Actuales'!$B$15:$J$15,9,FALSE)</f>
        <v>2.0099999999999998</v>
      </c>
      <c r="O16" s="123">
        <f t="shared" si="7"/>
        <v>34380.145044319099</v>
      </c>
      <c r="P16" s="123">
        <f t="shared" si="8"/>
        <v>30149.999999999996</v>
      </c>
      <c r="Q16" s="122">
        <f t="shared" si="9"/>
        <v>64530.145044319099</v>
      </c>
      <c r="R16" s="124">
        <f t="shared" si="10"/>
        <v>83942.344883158745</v>
      </c>
      <c r="S16" s="79">
        <f t="shared" si="11"/>
        <v>5.596156325543916</v>
      </c>
      <c r="U16" s="76" t="str">
        <f>IF(B16&gt;'Peajes Circular CNMC'!$C$23,'Peajes Circular CNMC'!$B$23,IF(B16&gt;'Peajes Circular CNMC'!$C$22,'Peajes Circular CNMC'!$B$22,IF(B16&gt;'Peajes Circular CNMC'!$C$21,'Peajes Circular CNMC'!$B$21,IF(B16&gt;'Peajes Circular CNMC'!$C$20,'Peajes Circular CNMC'!$B$20,IF(B16&gt;'Peajes Circular CNMC'!$C$19,'Peajes Circular CNMC'!$B$19,IF(B16&gt;'Peajes Circular CNMC'!$C$18,'Peajes Circular CNMC'!$B$18,IF(B16&gt;'Peajes Circular CNMC'!$C$17,'Peajes Circular CNMC'!$B$17,IF(B16&gt;'Peajes Circular CNMC'!$C$16,'Peajes Circular CNMC'!$B$16,IF(B16&gt;'Peajes Circular CNMC'!$C$15,'Peajes Circular CNMC'!$B$15,IF(B16&gt;'Peajes Circular CNMC'!$C$14,'Peajes Circular CNMC'!$B$14,'Peajes Circular CNMC'!$B$13))))))))))</f>
        <v>D.7</v>
      </c>
      <c r="V16" s="96">
        <f>'Peajes Circular CNMC'!$H$30</f>
        <v>29.867609999999999</v>
      </c>
      <c r="W16" s="88">
        <f>'Peajes Circular CNMC'!$I$30</f>
        <v>0.15190999999999999</v>
      </c>
      <c r="X16" s="123">
        <f t="shared" si="12"/>
        <v>17328.508622078967</v>
      </c>
      <c r="Y16" s="123">
        <f t="shared" si="13"/>
        <v>2278.6499999999996</v>
      </c>
      <c r="Z16" s="122">
        <f t="shared" si="14"/>
        <v>19607.158622078969</v>
      </c>
      <c r="AA16" s="88">
        <f>'Peajes Circular CNMC'!$H$35</f>
        <v>0.26106499999999999</v>
      </c>
      <c r="AB16" s="122">
        <f t="shared" si="15"/>
        <v>3915.9749999999999</v>
      </c>
      <c r="AC16" s="97">
        <f>'Peajes Circular CNMC'!$J$6</f>
        <v>20.326666666666664</v>
      </c>
      <c r="AD16" s="97">
        <f>'Peajes Circular CNMC'!$J$7</f>
        <v>2.2599999999999999E-2</v>
      </c>
      <c r="AE16" s="123">
        <f t="shared" si="16"/>
        <v>11793.070104754228</v>
      </c>
      <c r="AF16" s="123">
        <f t="shared" si="17"/>
        <v>339</v>
      </c>
      <c r="AG16" s="122">
        <f t="shared" si="18"/>
        <v>12132.070104754228</v>
      </c>
      <c r="AH16" s="97">
        <f>'Peajes Circular CNMC'!$K$6</f>
        <v>12.351666666666667</v>
      </c>
      <c r="AI16" s="97">
        <f>'Peajes Circular CNMC'!$K$7</f>
        <v>2.2599999999999999E-2</v>
      </c>
      <c r="AJ16" s="123">
        <f t="shared" si="19"/>
        <v>7166.156325543916</v>
      </c>
      <c r="AK16" s="123">
        <f t="shared" si="20"/>
        <v>339</v>
      </c>
      <c r="AL16" s="122">
        <f t="shared" si="21"/>
        <v>7505.156325543916</v>
      </c>
      <c r="AM16" s="98">
        <f>VLOOKUP(U16,'Peajes Circular CNMC'!$B$13:$J$23,7,FALSE)</f>
        <v>86.737500000000011</v>
      </c>
      <c r="AN16" s="87">
        <f>VLOOKUP(U16,'Peajes Circular CNMC'!$B$13:$J$23,8,FALSE)</f>
        <v>0</v>
      </c>
      <c r="AO16" s="87">
        <f>VLOOKUP(U16,'Peajes Circular CNMC'!$B$13:$J$23,9,FALSE)</f>
        <v>1.0900000000000001</v>
      </c>
      <c r="AP16" s="123">
        <f t="shared" si="22"/>
        <v>50323.126510878334</v>
      </c>
      <c r="AQ16" s="123">
        <f t="shared" si="23"/>
        <v>0</v>
      </c>
      <c r="AR16" s="123">
        <f t="shared" si="24"/>
        <v>16350.000000000002</v>
      </c>
      <c r="AS16" s="122">
        <f t="shared" si="25"/>
        <v>66673.126510878341</v>
      </c>
      <c r="AT16" s="124">
        <f t="shared" si="26"/>
        <v>109833.48656325546</v>
      </c>
      <c r="AU16" s="79">
        <f t="shared" si="27"/>
        <v>7.3222324375503636</v>
      </c>
      <c r="AW16" s="75">
        <f t="shared" si="28"/>
        <v>0.49462615126062803</v>
      </c>
      <c r="AX16" s="100">
        <f t="shared" si="29"/>
        <v>0.9276337420108155</v>
      </c>
      <c r="AY16" s="100">
        <f t="shared" si="30"/>
        <v>0.14951365420729865</v>
      </c>
      <c r="AZ16" s="125">
        <f t="shared" si="0"/>
        <v>25891.141680096713</v>
      </c>
      <c r="BA16" s="100">
        <f t="shared" si="1"/>
        <v>0.30843958095446561</v>
      </c>
      <c r="BB16" s="192">
        <f t="shared" si="31"/>
        <v>1.7260761120064476</v>
      </c>
    </row>
    <row r="17" spans="2:54">
      <c r="B17" s="105">
        <v>17500</v>
      </c>
      <c r="C17" s="112">
        <f>IF($C$5&lt;&gt;"Memoria CNMC",$C$5,IF(B17&gt;'Tipología Clientes'!$C$16,'Tipología Clientes'!$L$16,IF(B17&gt;'Tipología Clientes'!$C$15,'Tipología Clientes'!$L$15,IF(B17&gt;'Tipología Clientes'!$C$14,'Tipología Clientes'!$L$14,IF(B17&gt;'Tipología Clientes'!$C$13,'Tipología Clientes'!$L$13,IF(B17&gt;'Tipología Clientes'!$C$12,'Tipología Clientes'!$L$12,IF(B17&gt;'Tipología Clientes'!$C$11,'Tipología Clientes'!$L$11,IF(B17&gt;'Tipología Clientes'!$C$10,'Tipología Clientes'!$L$10,IF(B17&gt;'Tipología Clientes'!$C$9,'Tipología Clientes'!$L$9,IF(B17&gt;'Tipología Clientes'!$C$8,'Tipología Clientes'!$L$8,IF(B17&gt;'Tipología Clientes'!$C$7,'Tipología Clientes'!$L$7,'Tipología Clientes'!$L$6)))))))))))</f>
        <v>0.85</v>
      </c>
      <c r="D17" s="113">
        <f t="shared" si="2"/>
        <v>56.406124093473011</v>
      </c>
      <c r="E17" s="76" t="str">
        <f>IF(B17&gt;'Peajes Actuales'!$C$15,'Peajes Actuales'!$B$15,IF(B17&gt;'Peajes Actuales'!$C$14,'Peajes Actuales'!$B$14,IF(B17&gt;'Peajes Actuales'!$C$13,'Peajes Actuales'!$B$13,IF(B17&gt;'Peajes Actuales'!$C$12,'Peajes Actuales'!$B$12,'Peajes Actuales'!$B$11))))</f>
        <v>3.5</v>
      </c>
      <c r="F17" s="88">
        <f>'Peajes Actuales'!$H$29</f>
        <v>19.612000000000002</v>
      </c>
      <c r="G17" s="88">
        <f>'Peajes Actuales'!$I$29</f>
        <v>0.11599999999999999</v>
      </c>
      <c r="H17" s="123">
        <f t="shared" si="3"/>
        <v>13274.842868654316</v>
      </c>
      <c r="I17" s="123">
        <f t="shared" si="4"/>
        <v>2029.9999999999998</v>
      </c>
      <c r="J17" s="122">
        <f t="shared" si="5"/>
        <v>15304.842868654316</v>
      </c>
      <c r="K17" s="89">
        <f>'Peajes Actuales'!$I$5</f>
        <v>10.848000000000001</v>
      </c>
      <c r="L17" s="122">
        <f t="shared" si="6"/>
        <v>7342.7236099919437</v>
      </c>
      <c r="M17" s="90">
        <f>VLOOKUP(E17,'Peajes Actuales'!$B$15:$J$15,7,FALSE)</f>
        <v>59.258000000000003</v>
      </c>
      <c r="N17" s="90">
        <f>VLOOKUP(E17,'Peajes Actuales'!$B$15:$J$15,9,FALSE)</f>
        <v>2.0099999999999998</v>
      </c>
      <c r="O17" s="123">
        <f t="shared" si="7"/>
        <v>40110.169218372284</v>
      </c>
      <c r="P17" s="123">
        <f t="shared" si="8"/>
        <v>35174.999999999993</v>
      </c>
      <c r="Q17" s="122">
        <f t="shared" si="9"/>
        <v>75285.169218372277</v>
      </c>
      <c r="R17" s="124">
        <f t="shared" si="10"/>
        <v>97932.735697018536</v>
      </c>
      <c r="S17" s="79">
        <f t="shared" si="11"/>
        <v>5.596156325543916</v>
      </c>
      <c r="U17" s="76" t="str">
        <f>IF(B17&gt;'Peajes Circular CNMC'!$C$23,'Peajes Circular CNMC'!$B$23,IF(B17&gt;'Peajes Circular CNMC'!$C$22,'Peajes Circular CNMC'!$B$22,IF(B17&gt;'Peajes Circular CNMC'!$C$21,'Peajes Circular CNMC'!$B$21,IF(B17&gt;'Peajes Circular CNMC'!$C$20,'Peajes Circular CNMC'!$B$20,IF(B17&gt;'Peajes Circular CNMC'!$C$19,'Peajes Circular CNMC'!$B$19,IF(B17&gt;'Peajes Circular CNMC'!$C$18,'Peajes Circular CNMC'!$B$18,IF(B17&gt;'Peajes Circular CNMC'!$C$17,'Peajes Circular CNMC'!$B$17,IF(B17&gt;'Peajes Circular CNMC'!$C$16,'Peajes Circular CNMC'!$B$16,IF(B17&gt;'Peajes Circular CNMC'!$C$15,'Peajes Circular CNMC'!$B$15,IF(B17&gt;'Peajes Circular CNMC'!$C$14,'Peajes Circular CNMC'!$B$14,'Peajes Circular CNMC'!$B$13))))))))))</f>
        <v>D.8</v>
      </c>
      <c r="V17" s="96">
        <f>'Peajes Circular CNMC'!$H$30</f>
        <v>29.867609999999999</v>
      </c>
      <c r="W17" s="88">
        <f>'Peajes Circular CNMC'!$I$30</f>
        <v>0.15190999999999999</v>
      </c>
      <c r="X17" s="123">
        <f t="shared" si="12"/>
        <v>20216.593392425464</v>
      </c>
      <c r="Y17" s="123">
        <f t="shared" si="13"/>
        <v>2658.4249999999997</v>
      </c>
      <c r="Z17" s="122">
        <f t="shared" si="14"/>
        <v>22875.018392425463</v>
      </c>
      <c r="AA17" s="88">
        <f>'Peajes Circular CNMC'!$H$35</f>
        <v>0.26106499999999999</v>
      </c>
      <c r="AB17" s="122">
        <f t="shared" si="15"/>
        <v>4568.6374999999998</v>
      </c>
      <c r="AC17" s="97">
        <f>'Peajes Circular CNMC'!$J$6</f>
        <v>20.326666666666664</v>
      </c>
      <c r="AD17" s="97">
        <f>'Peajes Circular CNMC'!$J$7</f>
        <v>2.2599999999999999E-2</v>
      </c>
      <c r="AE17" s="123">
        <f t="shared" si="16"/>
        <v>13758.581788879934</v>
      </c>
      <c r="AF17" s="123">
        <f t="shared" si="17"/>
        <v>395.5</v>
      </c>
      <c r="AG17" s="122">
        <f t="shared" si="18"/>
        <v>14154.081788879934</v>
      </c>
      <c r="AH17" s="97">
        <f>'Peajes Circular CNMC'!$K$6</f>
        <v>12.351666666666667</v>
      </c>
      <c r="AI17" s="97">
        <f>'Peajes Circular CNMC'!$K$7</f>
        <v>2.2599999999999999E-2</v>
      </c>
      <c r="AJ17" s="123">
        <f t="shared" si="19"/>
        <v>8360.5157131345695</v>
      </c>
      <c r="AK17" s="123">
        <f t="shared" si="20"/>
        <v>395.5</v>
      </c>
      <c r="AL17" s="122">
        <f t="shared" si="21"/>
        <v>8756.0157131345695</v>
      </c>
      <c r="AM17" s="98">
        <f>VLOOKUP(U17,'Peajes Circular CNMC'!$B$13:$J$23,7,FALSE)</f>
        <v>42.213333333333331</v>
      </c>
      <c r="AN17" s="87">
        <f>VLOOKUP(U17,'Peajes Circular CNMC'!$B$13:$J$23,8,FALSE)</f>
        <v>0</v>
      </c>
      <c r="AO17" s="87">
        <f>VLOOKUP(U17,'Peajes Circular CNMC'!$B$13:$J$23,9,FALSE)</f>
        <v>0.70599999999999996</v>
      </c>
      <c r="AP17" s="123">
        <f t="shared" si="22"/>
        <v>28573.086220789686</v>
      </c>
      <c r="AQ17" s="123">
        <f t="shared" si="23"/>
        <v>0</v>
      </c>
      <c r="AR17" s="123">
        <f t="shared" si="24"/>
        <v>12355</v>
      </c>
      <c r="AS17" s="122">
        <f t="shared" si="25"/>
        <v>40928.086220789686</v>
      </c>
      <c r="AT17" s="124">
        <f t="shared" si="26"/>
        <v>91281.839615229663</v>
      </c>
      <c r="AU17" s="79">
        <f t="shared" si="27"/>
        <v>5.2161051208702665</v>
      </c>
      <c r="AW17" s="75">
        <f t="shared" si="28"/>
        <v>0.49462615126062764</v>
      </c>
      <c r="AX17" s="100">
        <f t="shared" si="29"/>
        <v>0.92763374201081539</v>
      </c>
      <c r="AY17" s="100">
        <f t="shared" si="30"/>
        <v>-0.34005458910757741</v>
      </c>
      <c r="AZ17" s="125">
        <f t="shared" si="0"/>
        <v>-6650.8960817888728</v>
      </c>
      <c r="BA17" s="100">
        <f t="shared" si="1"/>
        <v>-6.7912899955794387E-2</v>
      </c>
      <c r="BB17" s="192">
        <f t="shared" si="31"/>
        <v>-0.3800512046736495</v>
      </c>
    </row>
    <row r="18" spans="2:54">
      <c r="B18" s="105">
        <v>20000</v>
      </c>
      <c r="C18" s="112">
        <f>IF($C$5&lt;&gt;"Memoria CNMC",$C$5,IF(B18&gt;'Tipología Clientes'!$C$16,'Tipología Clientes'!$L$16,IF(B18&gt;'Tipología Clientes'!$C$15,'Tipología Clientes'!$L$15,IF(B18&gt;'Tipología Clientes'!$C$14,'Tipología Clientes'!$L$14,IF(B18&gt;'Tipología Clientes'!$C$13,'Tipología Clientes'!$L$13,IF(B18&gt;'Tipología Clientes'!$C$12,'Tipología Clientes'!$L$12,IF(B18&gt;'Tipología Clientes'!$C$11,'Tipología Clientes'!$L$11,IF(B18&gt;'Tipología Clientes'!$C$10,'Tipología Clientes'!$L$10,IF(B18&gt;'Tipología Clientes'!$C$9,'Tipología Clientes'!$L$9,IF(B18&gt;'Tipología Clientes'!$C$8,'Tipología Clientes'!$L$8,IF(B18&gt;'Tipología Clientes'!$C$7,'Tipología Clientes'!$L$7,'Tipología Clientes'!$L$6)))))))))))</f>
        <v>0.85</v>
      </c>
      <c r="D18" s="113">
        <f t="shared" si="2"/>
        <v>64.464141821112008</v>
      </c>
      <c r="E18" s="76" t="str">
        <f>IF(B18&gt;'Peajes Actuales'!$C$15,'Peajes Actuales'!$B$15,IF(B18&gt;'Peajes Actuales'!$C$14,'Peajes Actuales'!$B$14,IF(B18&gt;'Peajes Actuales'!$C$13,'Peajes Actuales'!$B$13,IF(B18&gt;'Peajes Actuales'!$C$12,'Peajes Actuales'!$B$12,'Peajes Actuales'!$B$11))))</f>
        <v>3.5</v>
      </c>
      <c r="F18" s="88">
        <f>'Peajes Actuales'!$H$29</f>
        <v>19.612000000000002</v>
      </c>
      <c r="G18" s="88">
        <f>'Peajes Actuales'!$I$29</f>
        <v>0.11599999999999999</v>
      </c>
      <c r="H18" s="123">
        <f t="shared" si="3"/>
        <v>15171.248992747787</v>
      </c>
      <c r="I18" s="123">
        <f t="shared" si="4"/>
        <v>2320</v>
      </c>
      <c r="J18" s="122">
        <f t="shared" si="5"/>
        <v>17491.248992747787</v>
      </c>
      <c r="K18" s="89">
        <f>'Peajes Actuales'!$I$5</f>
        <v>10.848000000000001</v>
      </c>
      <c r="L18" s="122">
        <f t="shared" si="6"/>
        <v>8391.6841257050783</v>
      </c>
      <c r="M18" s="90">
        <f>VLOOKUP(E18,'Peajes Actuales'!$B$15:$J$15,7,FALSE)</f>
        <v>59.258000000000003</v>
      </c>
      <c r="N18" s="90">
        <f>VLOOKUP(E18,'Peajes Actuales'!$B$15:$J$15,9,FALSE)</f>
        <v>2.0099999999999998</v>
      </c>
      <c r="O18" s="123">
        <f t="shared" si="7"/>
        <v>45840.19339242547</v>
      </c>
      <c r="P18" s="123">
        <f t="shared" si="8"/>
        <v>40199.999999999993</v>
      </c>
      <c r="Q18" s="122">
        <f t="shared" si="9"/>
        <v>86040.193392425455</v>
      </c>
      <c r="R18" s="124">
        <f t="shared" si="10"/>
        <v>111923.12651087833</v>
      </c>
      <c r="S18" s="79">
        <f t="shared" si="11"/>
        <v>5.596156325543916</v>
      </c>
      <c r="U18" s="76" t="str">
        <f>IF(B18&gt;'Peajes Circular CNMC'!$C$23,'Peajes Circular CNMC'!$B$23,IF(B18&gt;'Peajes Circular CNMC'!$C$22,'Peajes Circular CNMC'!$B$22,IF(B18&gt;'Peajes Circular CNMC'!$C$21,'Peajes Circular CNMC'!$B$21,IF(B18&gt;'Peajes Circular CNMC'!$C$20,'Peajes Circular CNMC'!$B$20,IF(B18&gt;'Peajes Circular CNMC'!$C$19,'Peajes Circular CNMC'!$B$19,IF(B18&gt;'Peajes Circular CNMC'!$C$18,'Peajes Circular CNMC'!$B$18,IF(B18&gt;'Peajes Circular CNMC'!$C$17,'Peajes Circular CNMC'!$B$17,IF(B18&gt;'Peajes Circular CNMC'!$C$16,'Peajes Circular CNMC'!$B$16,IF(B18&gt;'Peajes Circular CNMC'!$C$15,'Peajes Circular CNMC'!$B$15,IF(B18&gt;'Peajes Circular CNMC'!$C$14,'Peajes Circular CNMC'!$B$14,'Peajes Circular CNMC'!$B$13))))))))))</f>
        <v>D.8</v>
      </c>
      <c r="V18" s="96">
        <f>'Peajes Circular CNMC'!$H$30</f>
        <v>29.867609999999999</v>
      </c>
      <c r="W18" s="88">
        <f>'Peajes Circular CNMC'!$I$30</f>
        <v>0.15190999999999999</v>
      </c>
      <c r="X18" s="123">
        <f t="shared" si="12"/>
        <v>23104.678162771957</v>
      </c>
      <c r="Y18" s="123">
        <f t="shared" si="13"/>
        <v>3038.2</v>
      </c>
      <c r="Z18" s="122">
        <f t="shared" si="14"/>
        <v>26142.878162771958</v>
      </c>
      <c r="AA18" s="88">
        <f>'Peajes Circular CNMC'!$H$35</f>
        <v>0.26106499999999999</v>
      </c>
      <c r="AB18" s="122">
        <f t="shared" si="15"/>
        <v>5221.3</v>
      </c>
      <c r="AC18" s="97">
        <f>'Peajes Circular CNMC'!$J$6</f>
        <v>20.326666666666664</v>
      </c>
      <c r="AD18" s="97">
        <f>'Peajes Circular CNMC'!$J$7</f>
        <v>2.2599999999999999E-2</v>
      </c>
      <c r="AE18" s="123">
        <f t="shared" si="16"/>
        <v>15724.093473005638</v>
      </c>
      <c r="AF18" s="123">
        <f t="shared" si="17"/>
        <v>451.99999999999994</v>
      </c>
      <c r="AG18" s="122">
        <f t="shared" si="18"/>
        <v>16176.093473005638</v>
      </c>
      <c r="AH18" s="97">
        <f>'Peajes Circular CNMC'!$K$6</f>
        <v>12.351666666666667</v>
      </c>
      <c r="AI18" s="97">
        <f>'Peajes Circular CNMC'!$K$7</f>
        <v>2.2599999999999999E-2</v>
      </c>
      <c r="AJ18" s="123">
        <f t="shared" si="19"/>
        <v>9554.8751007252213</v>
      </c>
      <c r="AK18" s="123">
        <f t="shared" si="20"/>
        <v>451.99999999999994</v>
      </c>
      <c r="AL18" s="122">
        <f t="shared" si="21"/>
        <v>10006.875100725221</v>
      </c>
      <c r="AM18" s="98">
        <f>VLOOKUP(U18,'Peajes Circular CNMC'!$B$13:$J$23,7,FALSE)</f>
        <v>42.213333333333331</v>
      </c>
      <c r="AN18" s="87">
        <f>VLOOKUP(U18,'Peajes Circular CNMC'!$B$13:$J$23,8,FALSE)</f>
        <v>0</v>
      </c>
      <c r="AO18" s="87">
        <f>VLOOKUP(U18,'Peajes Circular CNMC'!$B$13:$J$23,9,FALSE)</f>
        <v>0.70599999999999996</v>
      </c>
      <c r="AP18" s="123">
        <f t="shared" si="22"/>
        <v>32654.955680902494</v>
      </c>
      <c r="AQ18" s="123">
        <f t="shared" si="23"/>
        <v>0</v>
      </c>
      <c r="AR18" s="123">
        <f t="shared" si="24"/>
        <v>14120</v>
      </c>
      <c r="AS18" s="122">
        <f t="shared" si="25"/>
        <v>46774.955680902494</v>
      </c>
      <c r="AT18" s="124">
        <f t="shared" si="26"/>
        <v>104322.10241740532</v>
      </c>
      <c r="AU18" s="79">
        <f t="shared" si="27"/>
        <v>5.2161051208702656</v>
      </c>
      <c r="AW18" s="75">
        <f t="shared" si="28"/>
        <v>0.49462615126062781</v>
      </c>
      <c r="AX18" s="100">
        <f t="shared" si="29"/>
        <v>0.92763374201081539</v>
      </c>
      <c r="AY18" s="100">
        <f t="shared" si="30"/>
        <v>-0.34005458910757747</v>
      </c>
      <c r="AZ18" s="125">
        <f t="shared" si="0"/>
        <v>-7601.02409347301</v>
      </c>
      <c r="BA18" s="100">
        <f t="shared" si="1"/>
        <v>-6.7912899955794498E-2</v>
      </c>
      <c r="BB18" s="192">
        <f t="shared" si="31"/>
        <v>-0.38005120467365039</v>
      </c>
    </row>
    <row r="19" spans="2:54">
      <c r="B19" s="105">
        <v>22500</v>
      </c>
      <c r="C19" s="112">
        <f>IF($C$5&lt;&gt;"Memoria CNMC",$C$5,IF(B19&gt;'Tipología Clientes'!$C$16,'Tipología Clientes'!$L$16,IF(B19&gt;'Tipología Clientes'!$C$15,'Tipología Clientes'!$L$15,IF(B19&gt;'Tipología Clientes'!$C$14,'Tipología Clientes'!$L$14,IF(B19&gt;'Tipología Clientes'!$C$13,'Tipología Clientes'!$L$13,IF(B19&gt;'Tipología Clientes'!$C$12,'Tipología Clientes'!$L$12,IF(B19&gt;'Tipología Clientes'!$C$11,'Tipología Clientes'!$L$11,IF(B19&gt;'Tipología Clientes'!$C$10,'Tipología Clientes'!$L$10,IF(B19&gt;'Tipología Clientes'!$C$9,'Tipología Clientes'!$L$9,IF(B19&gt;'Tipología Clientes'!$C$8,'Tipología Clientes'!$L$8,IF(B19&gt;'Tipología Clientes'!$C$7,'Tipología Clientes'!$L$7,'Tipología Clientes'!$L$6)))))))))))</f>
        <v>0.85</v>
      </c>
      <c r="D19" s="113">
        <f t="shared" si="2"/>
        <v>72.522159548751006</v>
      </c>
      <c r="E19" s="76" t="str">
        <f>IF(B19&gt;'Peajes Actuales'!$C$15,'Peajes Actuales'!$B$15,IF(B19&gt;'Peajes Actuales'!$C$14,'Peajes Actuales'!$B$14,IF(B19&gt;'Peajes Actuales'!$C$13,'Peajes Actuales'!$B$13,IF(B19&gt;'Peajes Actuales'!$C$12,'Peajes Actuales'!$B$12,'Peajes Actuales'!$B$11))))</f>
        <v>3.5</v>
      </c>
      <c r="F19" s="88">
        <f>'Peajes Actuales'!$H$29</f>
        <v>19.612000000000002</v>
      </c>
      <c r="G19" s="88">
        <f>'Peajes Actuales'!$I$29</f>
        <v>0.11599999999999999</v>
      </c>
      <c r="H19" s="123">
        <f t="shared" si="3"/>
        <v>17067.655116841259</v>
      </c>
      <c r="I19" s="123">
        <f t="shared" si="4"/>
        <v>2610</v>
      </c>
      <c r="J19" s="122">
        <f t="shared" si="5"/>
        <v>19677.655116841259</v>
      </c>
      <c r="K19" s="89">
        <f>'Peajes Actuales'!$I$5</f>
        <v>10.848000000000001</v>
      </c>
      <c r="L19" s="122">
        <f t="shared" si="6"/>
        <v>9440.6446414182119</v>
      </c>
      <c r="M19" s="90">
        <f>VLOOKUP(E19,'Peajes Actuales'!$B$15:$J$15,7,FALSE)</f>
        <v>59.258000000000003</v>
      </c>
      <c r="N19" s="90">
        <f>VLOOKUP(E19,'Peajes Actuales'!$B$15:$J$15,9,FALSE)</f>
        <v>2.0099999999999998</v>
      </c>
      <c r="O19" s="123">
        <f t="shared" si="7"/>
        <v>51570.217566478648</v>
      </c>
      <c r="P19" s="123">
        <f t="shared" si="8"/>
        <v>45224.999999999993</v>
      </c>
      <c r="Q19" s="122">
        <f t="shared" si="9"/>
        <v>96795.217566478648</v>
      </c>
      <c r="R19" s="124">
        <f t="shared" si="10"/>
        <v>125913.51732473812</v>
      </c>
      <c r="S19" s="79">
        <f t="shared" si="11"/>
        <v>5.596156325543916</v>
      </c>
      <c r="U19" s="76" t="str">
        <f>IF(B19&gt;'Peajes Circular CNMC'!$C$23,'Peajes Circular CNMC'!$B$23,IF(B19&gt;'Peajes Circular CNMC'!$C$22,'Peajes Circular CNMC'!$B$22,IF(B19&gt;'Peajes Circular CNMC'!$C$21,'Peajes Circular CNMC'!$B$21,IF(B19&gt;'Peajes Circular CNMC'!$C$20,'Peajes Circular CNMC'!$B$20,IF(B19&gt;'Peajes Circular CNMC'!$C$19,'Peajes Circular CNMC'!$B$19,IF(B19&gt;'Peajes Circular CNMC'!$C$18,'Peajes Circular CNMC'!$B$18,IF(B19&gt;'Peajes Circular CNMC'!$C$17,'Peajes Circular CNMC'!$B$17,IF(B19&gt;'Peajes Circular CNMC'!$C$16,'Peajes Circular CNMC'!$B$16,IF(B19&gt;'Peajes Circular CNMC'!$C$15,'Peajes Circular CNMC'!$B$15,IF(B19&gt;'Peajes Circular CNMC'!$C$14,'Peajes Circular CNMC'!$B$14,'Peajes Circular CNMC'!$B$13))))))))))</f>
        <v>D.8</v>
      </c>
      <c r="V19" s="96">
        <f>'Peajes Circular CNMC'!$H$30</f>
        <v>29.867609999999999</v>
      </c>
      <c r="W19" s="88">
        <f>'Peajes Circular CNMC'!$I$30</f>
        <v>0.15190999999999999</v>
      </c>
      <c r="X19" s="123">
        <f t="shared" si="12"/>
        <v>25992.762933118451</v>
      </c>
      <c r="Y19" s="123">
        <f t="shared" si="13"/>
        <v>3417.9749999999999</v>
      </c>
      <c r="Z19" s="122">
        <f t="shared" si="14"/>
        <v>29410.737933118449</v>
      </c>
      <c r="AA19" s="88">
        <f>'Peajes Circular CNMC'!$H$35</f>
        <v>0.26106499999999999</v>
      </c>
      <c r="AB19" s="122">
        <f t="shared" si="15"/>
        <v>5873.9624999999996</v>
      </c>
      <c r="AC19" s="97">
        <f>'Peajes Circular CNMC'!$J$6</f>
        <v>20.326666666666664</v>
      </c>
      <c r="AD19" s="97">
        <f>'Peajes Circular CNMC'!$J$7</f>
        <v>2.2599999999999999E-2</v>
      </c>
      <c r="AE19" s="123">
        <f t="shared" si="16"/>
        <v>17689.605157131344</v>
      </c>
      <c r="AF19" s="123">
        <f t="shared" si="17"/>
        <v>508.49999999999994</v>
      </c>
      <c r="AG19" s="122">
        <f t="shared" si="18"/>
        <v>18198.105157131344</v>
      </c>
      <c r="AH19" s="97">
        <f>'Peajes Circular CNMC'!$K$6</f>
        <v>12.351666666666667</v>
      </c>
      <c r="AI19" s="97">
        <f>'Peajes Circular CNMC'!$K$7</f>
        <v>2.2599999999999999E-2</v>
      </c>
      <c r="AJ19" s="123">
        <f t="shared" si="19"/>
        <v>10749.234488315875</v>
      </c>
      <c r="AK19" s="123">
        <f t="shared" si="20"/>
        <v>508.49999999999994</v>
      </c>
      <c r="AL19" s="122">
        <f t="shared" si="21"/>
        <v>11257.734488315875</v>
      </c>
      <c r="AM19" s="98">
        <f>VLOOKUP(U19,'Peajes Circular CNMC'!$B$13:$J$23,7,FALSE)</f>
        <v>42.213333333333331</v>
      </c>
      <c r="AN19" s="87">
        <f>VLOOKUP(U19,'Peajes Circular CNMC'!$B$13:$J$23,8,FALSE)</f>
        <v>0</v>
      </c>
      <c r="AO19" s="87">
        <f>VLOOKUP(U19,'Peajes Circular CNMC'!$B$13:$J$23,9,FALSE)</f>
        <v>0.70599999999999996</v>
      </c>
      <c r="AP19" s="123">
        <f t="shared" si="22"/>
        <v>36736.825141015303</v>
      </c>
      <c r="AQ19" s="123">
        <f t="shared" si="23"/>
        <v>0</v>
      </c>
      <c r="AR19" s="123">
        <f t="shared" si="24"/>
        <v>15885</v>
      </c>
      <c r="AS19" s="122">
        <f t="shared" si="25"/>
        <v>52621.825141015303</v>
      </c>
      <c r="AT19" s="124">
        <f>Z19+AB19+AG19+AL19+AS19</f>
        <v>117362.36521958097</v>
      </c>
      <c r="AU19" s="79">
        <f t="shared" si="27"/>
        <v>5.2161051208702656</v>
      </c>
      <c r="AW19" s="75">
        <f t="shared" si="28"/>
        <v>0.49462615126062776</v>
      </c>
      <c r="AX19" s="100">
        <f t="shared" si="29"/>
        <v>0.92763374201081572</v>
      </c>
      <c r="AY19" s="100">
        <f t="shared" si="30"/>
        <v>-0.34005458910757758</v>
      </c>
      <c r="AZ19" s="125">
        <f t="shared" si="0"/>
        <v>-8551.1521051571472</v>
      </c>
      <c r="BA19" s="100">
        <f t="shared" si="1"/>
        <v>-6.7912899955794581E-2</v>
      </c>
      <c r="BB19" s="192">
        <f t="shared" si="31"/>
        <v>-0.38005120467365039</v>
      </c>
    </row>
    <row r="20" spans="2:54">
      <c r="B20" s="105">
        <v>25000</v>
      </c>
      <c r="C20" s="112">
        <f>IF($C$5&lt;&gt;"Memoria CNMC",$C$5,IF(B20&gt;'Tipología Clientes'!$C$16,'Tipología Clientes'!$L$16,IF(B20&gt;'Tipología Clientes'!$C$15,'Tipología Clientes'!$L$15,IF(B20&gt;'Tipología Clientes'!$C$14,'Tipología Clientes'!$L$14,IF(B20&gt;'Tipología Clientes'!$C$13,'Tipología Clientes'!$L$13,IF(B20&gt;'Tipología Clientes'!$C$12,'Tipología Clientes'!$L$12,IF(B20&gt;'Tipología Clientes'!$C$11,'Tipología Clientes'!$L$11,IF(B20&gt;'Tipología Clientes'!$C$10,'Tipología Clientes'!$L$10,IF(B20&gt;'Tipología Clientes'!$C$9,'Tipología Clientes'!$L$9,IF(B20&gt;'Tipología Clientes'!$C$8,'Tipología Clientes'!$L$8,IF(B20&gt;'Tipología Clientes'!$C$7,'Tipología Clientes'!$L$7,'Tipología Clientes'!$L$6)))))))))))</f>
        <v>0.85</v>
      </c>
      <c r="D20" s="113">
        <f t="shared" si="2"/>
        <v>80.580177276390017</v>
      </c>
      <c r="E20" s="76" t="str">
        <f>IF(B20&gt;'Peajes Actuales'!$C$15,'Peajes Actuales'!$B$15,IF(B20&gt;'Peajes Actuales'!$C$14,'Peajes Actuales'!$B$14,IF(B20&gt;'Peajes Actuales'!$C$13,'Peajes Actuales'!$B$13,IF(B20&gt;'Peajes Actuales'!$C$12,'Peajes Actuales'!$B$12,'Peajes Actuales'!$B$11))))</f>
        <v>3.5</v>
      </c>
      <c r="F20" s="88">
        <f>'Peajes Actuales'!$H$29</f>
        <v>19.612000000000002</v>
      </c>
      <c r="G20" s="88">
        <f>'Peajes Actuales'!$I$29</f>
        <v>0.11599999999999999</v>
      </c>
      <c r="H20" s="123">
        <f t="shared" si="3"/>
        <v>18964.061240934734</v>
      </c>
      <c r="I20" s="123">
        <f t="shared" si="4"/>
        <v>2900</v>
      </c>
      <c r="J20" s="122">
        <f t="shared" si="5"/>
        <v>21864.061240934734</v>
      </c>
      <c r="K20" s="89">
        <f>'Peajes Actuales'!$I$5</f>
        <v>10.848000000000001</v>
      </c>
      <c r="L20" s="122">
        <f t="shared" si="6"/>
        <v>10489.605157131347</v>
      </c>
      <c r="M20" s="90">
        <f>VLOOKUP(E20,'Peajes Actuales'!$B$15:$J$15,7,FALSE)</f>
        <v>59.258000000000003</v>
      </c>
      <c r="N20" s="90">
        <f>VLOOKUP(E20,'Peajes Actuales'!$B$15:$J$15,9,FALSE)</f>
        <v>2.0099999999999998</v>
      </c>
      <c r="O20" s="123">
        <f t="shared" si="7"/>
        <v>57300.241740531841</v>
      </c>
      <c r="P20" s="123">
        <f t="shared" si="8"/>
        <v>50249.999999999993</v>
      </c>
      <c r="Q20" s="122">
        <f t="shared" si="9"/>
        <v>107550.24174053184</v>
      </c>
      <c r="R20" s="124">
        <f t="shared" si="10"/>
        <v>139903.90813859791</v>
      </c>
      <c r="S20" s="79">
        <f t="shared" si="11"/>
        <v>5.596156325543916</v>
      </c>
      <c r="U20" s="76" t="str">
        <f>IF(B20&gt;'Peajes Circular CNMC'!$C$23,'Peajes Circular CNMC'!$B$23,IF(B20&gt;'Peajes Circular CNMC'!$C$22,'Peajes Circular CNMC'!$B$22,IF(B20&gt;'Peajes Circular CNMC'!$C$21,'Peajes Circular CNMC'!$B$21,IF(B20&gt;'Peajes Circular CNMC'!$C$20,'Peajes Circular CNMC'!$B$20,IF(B20&gt;'Peajes Circular CNMC'!$C$19,'Peajes Circular CNMC'!$B$19,IF(B20&gt;'Peajes Circular CNMC'!$C$18,'Peajes Circular CNMC'!$B$18,IF(B20&gt;'Peajes Circular CNMC'!$C$17,'Peajes Circular CNMC'!$B$17,IF(B20&gt;'Peajes Circular CNMC'!$C$16,'Peajes Circular CNMC'!$B$16,IF(B20&gt;'Peajes Circular CNMC'!$C$15,'Peajes Circular CNMC'!$B$15,IF(B20&gt;'Peajes Circular CNMC'!$C$14,'Peajes Circular CNMC'!$B$14,'Peajes Circular CNMC'!$B$13))))))))))</f>
        <v>D.8</v>
      </c>
      <c r="V20" s="96">
        <f>'Peajes Circular CNMC'!$H$30</f>
        <v>29.867609999999999</v>
      </c>
      <c r="W20" s="88">
        <f>'Peajes Circular CNMC'!$I$30</f>
        <v>0.15190999999999999</v>
      </c>
      <c r="X20" s="123">
        <f t="shared" si="12"/>
        <v>28880.847703464951</v>
      </c>
      <c r="Y20" s="123">
        <f t="shared" si="13"/>
        <v>3797.7499999999995</v>
      </c>
      <c r="Z20" s="122">
        <f t="shared" si="14"/>
        <v>32678.597703464951</v>
      </c>
      <c r="AA20" s="88">
        <f>'Peajes Circular CNMC'!$H$35</f>
        <v>0.26106499999999999</v>
      </c>
      <c r="AB20" s="122">
        <f t="shared" si="15"/>
        <v>6526.625</v>
      </c>
      <c r="AC20" s="97">
        <f>'Peajes Circular CNMC'!$J$6</f>
        <v>20.326666666666664</v>
      </c>
      <c r="AD20" s="97">
        <f>'Peajes Circular CNMC'!$J$7</f>
        <v>2.2599999999999999E-2</v>
      </c>
      <c r="AE20" s="123">
        <f t="shared" si="16"/>
        <v>19655.116841257051</v>
      </c>
      <c r="AF20" s="123">
        <f t="shared" si="17"/>
        <v>565</v>
      </c>
      <c r="AG20" s="122">
        <f t="shared" si="18"/>
        <v>20220.116841257051</v>
      </c>
      <c r="AH20" s="97">
        <f>'Peajes Circular CNMC'!$K$6</f>
        <v>12.351666666666667</v>
      </c>
      <c r="AI20" s="97">
        <f>'Peajes Circular CNMC'!$K$7</f>
        <v>2.2599999999999999E-2</v>
      </c>
      <c r="AJ20" s="123">
        <f t="shared" si="19"/>
        <v>11943.593875906528</v>
      </c>
      <c r="AK20" s="123">
        <f t="shared" si="20"/>
        <v>565</v>
      </c>
      <c r="AL20" s="122">
        <f t="shared" si="21"/>
        <v>12508.593875906528</v>
      </c>
      <c r="AM20" s="98">
        <f>VLOOKUP(U20,'Peajes Circular CNMC'!$B$13:$J$23,7,FALSE)</f>
        <v>42.213333333333331</v>
      </c>
      <c r="AN20" s="87">
        <f>VLOOKUP(U20,'Peajes Circular CNMC'!$B$13:$J$23,8,FALSE)</f>
        <v>0</v>
      </c>
      <c r="AO20" s="87">
        <f>VLOOKUP(U20,'Peajes Circular CNMC'!$B$13:$J$23,9,FALSE)</f>
        <v>0.70599999999999996</v>
      </c>
      <c r="AP20" s="123">
        <f t="shared" si="22"/>
        <v>40818.694601128125</v>
      </c>
      <c r="AQ20" s="123">
        <f t="shared" si="23"/>
        <v>0</v>
      </c>
      <c r="AR20" s="123">
        <f t="shared" si="24"/>
        <v>17650</v>
      </c>
      <c r="AS20" s="122">
        <f t="shared" si="25"/>
        <v>58468.694601128125</v>
      </c>
      <c r="AT20" s="124">
        <f t="shared" si="26"/>
        <v>130402.62802175667</v>
      </c>
      <c r="AU20" s="79">
        <f t="shared" si="27"/>
        <v>5.2161051208702665</v>
      </c>
      <c r="AW20" s="75">
        <f t="shared" si="28"/>
        <v>0.49462615126062798</v>
      </c>
      <c r="AX20" s="100">
        <f t="shared" si="29"/>
        <v>0.92763374201081583</v>
      </c>
      <c r="AY20" s="100">
        <f t="shared" si="30"/>
        <v>-0.34005458910757747</v>
      </c>
      <c r="AZ20" s="125">
        <f t="shared" si="0"/>
        <v>-9501.2801168412407</v>
      </c>
      <c r="BA20" s="100">
        <f t="shared" si="1"/>
        <v>-6.7912899955794331E-2</v>
      </c>
      <c r="BB20" s="192">
        <f t="shared" si="31"/>
        <v>-0.3800512046736495</v>
      </c>
    </row>
    <row r="21" spans="2:54">
      <c r="B21" s="105">
        <v>27500</v>
      </c>
      <c r="C21" s="112">
        <f>IF($C$5&lt;&gt;"Memoria CNMC",$C$5,IF(B21&gt;'Tipología Clientes'!$C$16,'Tipología Clientes'!$L$16,IF(B21&gt;'Tipología Clientes'!$C$15,'Tipología Clientes'!$L$15,IF(B21&gt;'Tipología Clientes'!$C$14,'Tipología Clientes'!$L$14,IF(B21&gt;'Tipología Clientes'!$C$13,'Tipología Clientes'!$L$13,IF(B21&gt;'Tipología Clientes'!$C$12,'Tipología Clientes'!$L$12,IF(B21&gt;'Tipología Clientes'!$C$11,'Tipología Clientes'!$L$11,IF(B21&gt;'Tipología Clientes'!$C$10,'Tipología Clientes'!$L$10,IF(B21&gt;'Tipología Clientes'!$C$9,'Tipología Clientes'!$L$9,IF(B21&gt;'Tipología Clientes'!$C$8,'Tipología Clientes'!$L$8,IF(B21&gt;'Tipología Clientes'!$C$7,'Tipología Clientes'!$L$7,'Tipología Clientes'!$L$6)))))))))))</f>
        <v>0.85</v>
      </c>
      <c r="D21" s="113">
        <f t="shared" si="2"/>
        <v>88.638195004029015</v>
      </c>
      <c r="E21" s="76" t="str">
        <f>IF(B21&gt;'Peajes Actuales'!$C$15,'Peajes Actuales'!$B$15,IF(B21&gt;'Peajes Actuales'!$C$14,'Peajes Actuales'!$B$14,IF(B21&gt;'Peajes Actuales'!$C$13,'Peajes Actuales'!$B$13,IF(B21&gt;'Peajes Actuales'!$C$12,'Peajes Actuales'!$B$12,'Peajes Actuales'!$B$11))))</f>
        <v>3.5</v>
      </c>
      <c r="F21" s="88">
        <f>'Peajes Actuales'!$H$29</f>
        <v>19.612000000000002</v>
      </c>
      <c r="G21" s="88">
        <f>'Peajes Actuales'!$I$29</f>
        <v>0.11599999999999999</v>
      </c>
      <c r="H21" s="123">
        <f t="shared" si="3"/>
        <v>20860.467365028206</v>
      </c>
      <c r="I21" s="123">
        <f t="shared" si="4"/>
        <v>3190</v>
      </c>
      <c r="J21" s="122">
        <f t="shared" si="5"/>
        <v>24050.467365028206</v>
      </c>
      <c r="K21" s="89">
        <f>'Peajes Actuales'!$I$5</f>
        <v>10.848000000000001</v>
      </c>
      <c r="L21" s="122">
        <f t="shared" si="6"/>
        <v>11538.565672844483</v>
      </c>
      <c r="M21" s="90">
        <f>VLOOKUP(E21,'Peajes Actuales'!$B$15:$J$15,7,FALSE)</f>
        <v>59.258000000000003</v>
      </c>
      <c r="N21" s="90">
        <f>VLOOKUP(E21,'Peajes Actuales'!$B$15:$J$15,9,FALSE)</f>
        <v>2.0099999999999998</v>
      </c>
      <c r="O21" s="123">
        <f t="shared" si="7"/>
        <v>63030.265914585019</v>
      </c>
      <c r="P21" s="123">
        <f t="shared" si="8"/>
        <v>55274.999999999993</v>
      </c>
      <c r="Q21" s="122">
        <f t="shared" si="9"/>
        <v>118305.265914585</v>
      </c>
      <c r="R21" s="124">
        <f t="shared" si="10"/>
        <v>153894.2989524577</v>
      </c>
      <c r="S21" s="79">
        <f t="shared" si="11"/>
        <v>5.596156325543916</v>
      </c>
      <c r="U21" s="76" t="str">
        <f>IF(B21&gt;'Peajes Circular CNMC'!$C$23,'Peajes Circular CNMC'!$B$23,IF(B21&gt;'Peajes Circular CNMC'!$C$22,'Peajes Circular CNMC'!$B$22,IF(B21&gt;'Peajes Circular CNMC'!$C$21,'Peajes Circular CNMC'!$B$21,IF(B21&gt;'Peajes Circular CNMC'!$C$20,'Peajes Circular CNMC'!$B$20,IF(B21&gt;'Peajes Circular CNMC'!$C$19,'Peajes Circular CNMC'!$B$19,IF(B21&gt;'Peajes Circular CNMC'!$C$18,'Peajes Circular CNMC'!$B$18,IF(B21&gt;'Peajes Circular CNMC'!$C$17,'Peajes Circular CNMC'!$B$17,IF(B21&gt;'Peajes Circular CNMC'!$C$16,'Peajes Circular CNMC'!$B$16,IF(B21&gt;'Peajes Circular CNMC'!$C$15,'Peajes Circular CNMC'!$B$15,IF(B21&gt;'Peajes Circular CNMC'!$C$14,'Peajes Circular CNMC'!$B$14,'Peajes Circular CNMC'!$B$13))))))))))</f>
        <v>D.8</v>
      </c>
      <c r="V21" s="96">
        <f>'Peajes Circular CNMC'!$H$30</f>
        <v>29.867609999999999</v>
      </c>
      <c r="W21" s="88">
        <f>'Peajes Circular CNMC'!$I$30</f>
        <v>0.15190999999999999</v>
      </c>
      <c r="X21" s="123">
        <f t="shared" si="12"/>
        <v>31768.932473811445</v>
      </c>
      <c r="Y21" s="123">
        <f t="shared" si="13"/>
        <v>4177.5249999999996</v>
      </c>
      <c r="Z21" s="122">
        <f t="shared" si="14"/>
        <v>35946.457473811446</v>
      </c>
      <c r="AA21" s="88">
        <f>'Peajes Circular CNMC'!$H$35</f>
        <v>0.26106499999999999</v>
      </c>
      <c r="AB21" s="122">
        <f t="shared" si="15"/>
        <v>7179.2874999999995</v>
      </c>
      <c r="AC21" s="97">
        <f>'Peajes Circular CNMC'!$J$6</f>
        <v>20.326666666666664</v>
      </c>
      <c r="AD21" s="97">
        <f>'Peajes Circular CNMC'!$J$7</f>
        <v>2.2599999999999999E-2</v>
      </c>
      <c r="AE21" s="123">
        <f t="shared" si="16"/>
        <v>21620.628525382755</v>
      </c>
      <c r="AF21" s="123">
        <f t="shared" si="17"/>
        <v>621.5</v>
      </c>
      <c r="AG21" s="122">
        <f t="shared" si="18"/>
        <v>22242.128525382755</v>
      </c>
      <c r="AH21" s="97">
        <f>'Peajes Circular CNMC'!$K$6</f>
        <v>12.351666666666667</v>
      </c>
      <c r="AI21" s="97">
        <f>'Peajes Circular CNMC'!$K$7</f>
        <v>2.2599999999999999E-2</v>
      </c>
      <c r="AJ21" s="123">
        <f t="shared" si="19"/>
        <v>13137.95326349718</v>
      </c>
      <c r="AK21" s="123">
        <f t="shared" si="20"/>
        <v>621.5</v>
      </c>
      <c r="AL21" s="122">
        <f t="shared" si="21"/>
        <v>13759.45326349718</v>
      </c>
      <c r="AM21" s="98">
        <f>VLOOKUP(U21,'Peajes Circular CNMC'!$B$13:$J$23,7,FALSE)</f>
        <v>42.213333333333331</v>
      </c>
      <c r="AN21" s="87">
        <f>VLOOKUP(U21,'Peajes Circular CNMC'!$B$13:$J$23,8,FALSE)</f>
        <v>0</v>
      </c>
      <c r="AO21" s="87">
        <f>VLOOKUP(U21,'Peajes Circular CNMC'!$B$13:$J$23,9,FALSE)</f>
        <v>0.70599999999999996</v>
      </c>
      <c r="AP21" s="123">
        <f t="shared" si="22"/>
        <v>44900.564061240933</v>
      </c>
      <c r="AQ21" s="123">
        <f t="shared" si="23"/>
        <v>0</v>
      </c>
      <c r="AR21" s="123">
        <f t="shared" si="24"/>
        <v>19415</v>
      </c>
      <c r="AS21" s="122">
        <f t="shared" si="25"/>
        <v>64315.564061240933</v>
      </c>
      <c r="AT21" s="124">
        <f t="shared" si="26"/>
        <v>143442.89082393231</v>
      </c>
      <c r="AU21" s="79">
        <f t="shared" si="27"/>
        <v>5.2161051208702656</v>
      </c>
      <c r="AW21" s="75">
        <f t="shared" si="28"/>
        <v>0.49462615126062809</v>
      </c>
      <c r="AX21" s="100">
        <f t="shared" si="29"/>
        <v>0.92763374201081561</v>
      </c>
      <c r="AY21" s="100">
        <f t="shared" si="30"/>
        <v>-0.34005458910757741</v>
      </c>
      <c r="AZ21" s="125">
        <f t="shared" si="0"/>
        <v>-10451.408128525392</v>
      </c>
      <c r="BA21" s="100">
        <f t="shared" si="1"/>
        <v>-6.7912899955794512E-2</v>
      </c>
      <c r="BB21" s="192">
        <f t="shared" si="31"/>
        <v>-0.38005120467365039</v>
      </c>
    </row>
    <row r="22" spans="2:54">
      <c r="B22" s="105">
        <v>30000</v>
      </c>
      <c r="C22" s="112">
        <f>IF($C$5&lt;&gt;"Memoria CNMC",$C$5,IF(B22&gt;'Tipología Clientes'!$C$16,'Tipología Clientes'!$L$16,IF(B22&gt;'Tipología Clientes'!$C$15,'Tipología Clientes'!$L$15,IF(B22&gt;'Tipología Clientes'!$C$14,'Tipología Clientes'!$L$14,IF(B22&gt;'Tipología Clientes'!$C$13,'Tipología Clientes'!$L$13,IF(B22&gt;'Tipología Clientes'!$C$12,'Tipología Clientes'!$L$12,IF(B22&gt;'Tipología Clientes'!$C$11,'Tipología Clientes'!$L$11,IF(B22&gt;'Tipología Clientes'!$C$10,'Tipología Clientes'!$L$10,IF(B22&gt;'Tipología Clientes'!$C$9,'Tipología Clientes'!$L$9,IF(B22&gt;'Tipología Clientes'!$C$8,'Tipología Clientes'!$L$8,IF(B22&gt;'Tipología Clientes'!$C$7,'Tipología Clientes'!$L$7,'Tipología Clientes'!$L$6)))))))))))</f>
        <v>0.85</v>
      </c>
      <c r="D22" s="113">
        <f t="shared" si="2"/>
        <v>96.696212731668012</v>
      </c>
      <c r="E22" s="76" t="str">
        <f>IF(B22&gt;'Peajes Actuales'!$C$15,'Peajes Actuales'!$B$15,IF(B22&gt;'Peajes Actuales'!$C$14,'Peajes Actuales'!$B$14,IF(B22&gt;'Peajes Actuales'!$C$13,'Peajes Actuales'!$B$13,IF(B22&gt;'Peajes Actuales'!$C$12,'Peajes Actuales'!$B$12,'Peajes Actuales'!$B$11))))</f>
        <v>3.5</v>
      </c>
      <c r="F22" s="88">
        <f>'Peajes Actuales'!$H$29</f>
        <v>19.612000000000002</v>
      </c>
      <c r="G22" s="88">
        <f>'Peajes Actuales'!$I$29</f>
        <v>0.11599999999999999</v>
      </c>
      <c r="H22" s="123">
        <f t="shared" si="3"/>
        <v>22756.873489121677</v>
      </c>
      <c r="I22" s="123">
        <f t="shared" si="4"/>
        <v>3479.9999999999995</v>
      </c>
      <c r="J22" s="122">
        <f t="shared" si="5"/>
        <v>26236.873489121677</v>
      </c>
      <c r="K22" s="89">
        <f>'Peajes Actuales'!$I$5</f>
        <v>10.848000000000001</v>
      </c>
      <c r="L22" s="122">
        <f t="shared" si="6"/>
        <v>12587.526188557616</v>
      </c>
      <c r="M22" s="90">
        <f>VLOOKUP(E22,'Peajes Actuales'!$B$15:$J$15,7,FALSE)</f>
        <v>59.258000000000003</v>
      </c>
      <c r="N22" s="90">
        <f>VLOOKUP(E22,'Peajes Actuales'!$B$15:$J$15,9,FALSE)</f>
        <v>2.0099999999999998</v>
      </c>
      <c r="O22" s="123">
        <f t="shared" si="7"/>
        <v>68760.290088638198</v>
      </c>
      <c r="P22" s="123">
        <f t="shared" si="8"/>
        <v>60299.999999999993</v>
      </c>
      <c r="Q22" s="122">
        <f t="shared" si="9"/>
        <v>129060.2900886382</v>
      </c>
      <c r="R22" s="124">
        <f t="shared" si="10"/>
        <v>167884.68976631749</v>
      </c>
      <c r="S22" s="79">
        <f t="shared" si="11"/>
        <v>5.596156325543916</v>
      </c>
      <c r="U22" s="76" t="str">
        <f>IF(B22&gt;'Peajes Circular CNMC'!$C$23,'Peajes Circular CNMC'!$B$23,IF(B22&gt;'Peajes Circular CNMC'!$C$22,'Peajes Circular CNMC'!$B$22,IF(B22&gt;'Peajes Circular CNMC'!$C$21,'Peajes Circular CNMC'!$B$21,IF(B22&gt;'Peajes Circular CNMC'!$C$20,'Peajes Circular CNMC'!$B$20,IF(B22&gt;'Peajes Circular CNMC'!$C$19,'Peajes Circular CNMC'!$B$19,IF(B22&gt;'Peajes Circular CNMC'!$C$18,'Peajes Circular CNMC'!$B$18,IF(B22&gt;'Peajes Circular CNMC'!$C$17,'Peajes Circular CNMC'!$B$17,IF(B22&gt;'Peajes Circular CNMC'!$C$16,'Peajes Circular CNMC'!$B$16,IF(B22&gt;'Peajes Circular CNMC'!$C$15,'Peajes Circular CNMC'!$B$15,IF(B22&gt;'Peajes Circular CNMC'!$C$14,'Peajes Circular CNMC'!$B$14,'Peajes Circular CNMC'!$B$13))))))))))</f>
        <v>D.8</v>
      </c>
      <c r="V22" s="96">
        <f>'Peajes Circular CNMC'!$H$30</f>
        <v>29.867609999999999</v>
      </c>
      <c r="W22" s="88">
        <f>'Peajes Circular CNMC'!$I$30</f>
        <v>0.15190999999999999</v>
      </c>
      <c r="X22" s="123">
        <f t="shared" si="12"/>
        <v>34657.017244157934</v>
      </c>
      <c r="Y22" s="123">
        <f t="shared" si="13"/>
        <v>4557.2999999999993</v>
      </c>
      <c r="Z22" s="122">
        <f t="shared" si="14"/>
        <v>39214.317244157937</v>
      </c>
      <c r="AA22" s="88">
        <f>'Peajes Circular CNMC'!$H$35</f>
        <v>0.26106499999999999</v>
      </c>
      <c r="AB22" s="122">
        <f t="shared" si="15"/>
        <v>7831.95</v>
      </c>
      <c r="AC22" s="97">
        <f>'Peajes Circular CNMC'!$J$6</f>
        <v>20.326666666666664</v>
      </c>
      <c r="AD22" s="97">
        <f>'Peajes Circular CNMC'!$J$7</f>
        <v>2.2599999999999999E-2</v>
      </c>
      <c r="AE22" s="123">
        <f t="shared" si="16"/>
        <v>23586.140209508456</v>
      </c>
      <c r="AF22" s="123">
        <f t="shared" si="17"/>
        <v>678</v>
      </c>
      <c r="AG22" s="122">
        <f t="shared" si="18"/>
        <v>24264.140209508456</v>
      </c>
      <c r="AH22" s="97">
        <f>'Peajes Circular CNMC'!$K$6</f>
        <v>12.351666666666667</v>
      </c>
      <c r="AI22" s="97">
        <f>'Peajes Circular CNMC'!$K$7</f>
        <v>2.2599999999999999E-2</v>
      </c>
      <c r="AJ22" s="123">
        <f t="shared" si="19"/>
        <v>14332.312651087832</v>
      </c>
      <c r="AK22" s="123">
        <f t="shared" si="20"/>
        <v>678</v>
      </c>
      <c r="AL22" s="122">
        <f t="shared" si="21"/>
        <v>15010.312651087832</v>
      </c>
      <c r="AM22" s="98">
        <f>VLOOKUP(U22,'Peajes Circular CNMC'!$B$13:$J$23,7,FALSE)</f>
        <v>42.213333333333331</v>
      </c>
      <c r="AN22" s="87">
        <f>VLOOKUP(U22,'Peajes Circular CNMC'!$B$13:$J$23,8,FALSE)</f>
        <v>0</v>
      </c>
      <c r="AO22" s="87">
        <f>VLOOKUP(U22,'Peajes Circular CNMC'!$B$13:$J$23,9,FALSE)</f>
        <v>0.70599999999999996</v>
      </c>
      <c r="AP22" s="123">
        <f t="shared" si="22"/>
        <v>48982.433521353742</v>
      </c>
      <c r="AQ22" s="123">
        <f t="shared" si="23"/>
        <v>0</v>
      </c>
      <c r="AR22" s="123">
        <f t="shared" si="24"/>
        <v>21180</v>
      </c>
      <c r="AS22" s="122">
        <f t="shared" si="25"/>
        <v>70162.433521353742</v>
      </c>
      <c r="AT22" s="124">
        <f t="shared" si="26"/>
        <v>156483.15362610796</v>
      </c>
      <c r="AU22" s="79">
        <f t="shared" si="27"/>
        <v>5.2161051208702656</v>
      </c>
      <c r="AW22" s="75">
        <f t="shared" si="28"/>
        <v>0.49462615126062803</v>
      </c>
      <c r="AX22" s="100">
        <f t="shared" si="29"/>
        <v>0.9276337420108155</v>
      </c>
      <c r="AY22" s="100">
        <f t="shared" si="30"/>
        <v>-0.34005458910757752</v>
      </c>
      <c r="AZ22" s="125">
        <f t="shared" si="0"/>
        <v>-11401.53614020953</v>
      </c>
      <c r="BA22" s="100">
        <f t="shared" si="1"/>
        <v>-6.7912899955794581E-2</v>
      </c>
      <c r="BB22" s="192">
        <f t="shared" si="31"/>
        <v>-0.38005120467365039</v>
      </c>
    </row>
  </sheetData>
  <customSheetViews>
    <customSheetView guid="{96C67CFB-CE46-46EB-8800-9D77F2045444}" scale="80" showGridLines="0" fitToPage="1" hiddenColumns="1">
      <pane ySplit="6" topLeftCell="A40" activePane="bottomLeft" state="frozen"/>
      <selection pane="bottomLeft" activeCell="AE33" sqref="AE33"/>
      <pageMargins left="0.70866141732283472" right="0.70866141732283472" top="0.74803149606299213" bottom="0.74803149606299213" header="0.31496062992125984" footer="0.31496062992125984"/>
      <pageSetup paperSize="8" scale="67" orientation="landscape" r:id="rId1"/>
      <headerFooter>
        <oddHeader>&amp;L&amp;F&amp;R&amp;A</oddHeader>
        <oddFooter>&amp;R&amp;Z&amp;F</oddFooter>
      </headerFooter>
    </customSheetView>
    <customSheetView guid="{DE30ACA8-1284-4798-8E7A-589852EF3C29}" scale="80" showGridLines="0" fitToPage="1" hiddenColumns="1">
      <pane ySplit="6" topLeftCell="A40" activePane="bottomLeft" state="frozen"/>
      <selection pane="bottomLeft" activeCell="AE33" sqref="AE33"/>
      <pageMargins left="0.70866141732283472" right="0.70866141732283472" top="0.74803149606299213" bottom="0.74803149606299213" header="0.31496062992125984" footer="0.31496062992125984"/>
      <pageSetup paperSize="8" scale="67" orientation="landscape" r:id="rId2"/>
      <headerFooter>
        <oddHeader>&amp;L&amp;F&amp;R&amp;A</oddHeader>
        <oddFooter>&amp;R&amp;Z&amp;F</oddFooter>
      </headerFooter>
    </customSheetView>
  </customSheetViews>
  <mergeCells count="17">
    <mergeCell ref="AZ8:BA8"/>
    <mergeCell ref="B6:C6"/>
    <mergeCell ref="AM7:AS7"/>
    <mergeCell ref="AT7:AU7"/>
    <mergeCell ref="R8:S8"/>
    <mergeCell ref="AT8:AU8"/>
    <mergeCell ref="C5:D5"/>
    <mergeCell ref="F6:S6"/>
    <mergeCell ref="V6:AU6"/>
    <mergeCell ref="F7:J7"/>
    <mergeCell ref="K7:L7"/>
    <mergeCell ref="M7:Q7"/>
    <mergeCell ref="R7:S7"/>
    <mergeCell ref="V7:Z7"/>
    <mergeCell ref="AC7:AG7"/>
    <mergeCell ref="AH7:AL7"/>
    <mergeCell ref="AA7:AB7"/>
  </mergeCells>
  <conditionalFormatting sqref="AZ10:AZ22">
    <cfRule type="cellIs" dxfId="51" priority="8" operator="greaterThan">
      <formula>0</formula>
    </cfRule>
  </conditionalFormatting>
  <conditionalFormatting sqref="BA10:BA22">
    <cfRule type="cellIs" dxfId="50" priority="7" operator="greaterThan">
      <formula>0</formula>
    </cfRule>
  </conditionalFormatting>
  <conditionalFormatting sqref="AZ10:AZ22">
    <cfRule type="cellIs" dxfId="49" priority="6" operator="lessThan">
      <formula>0</formula>
    </cfRule>
  </conditionalFormatting>
  <conditionalFormatting sqref="BA10:BA22">
    <cfRule type="cellIs" dxfId="48" priority="5" operator="lessThan">
      <formula>0</formula>
    </cfRule>
  </conditionalFormatting>
  <conditionalFormatting sqref="AW10:AY22">
    <cfRule type="cellIs" dxfId="47" priority="4" operator="greaterThan">
      <formula>0</formula>
    </cfRule>
  </conditionalFormatting>
  <conditionalFormatting sqref="AW10:AY22">
    <cfRule type="cellIs" dxfId="46" priority="3" operator="lessThan">
      <formula>0</formula>
    </cfRule>
  </conditionalFormatting>
  <conditionalFormatting sqref="BB10:BB22">
    <cfRule type="cellIs" dxfId="45" priority="2" operator="greaterThan">
      <formula>0</formula>
    </cfRule>
  </conditionalFormatting>
  <conditionalFormatting sqref="BB10:BB22">
    <cfRule type="cellIs" dxfId="44" priority="1" operator="lessThan">
      <formula>0</formula>
    </cfRule>
  </conditionalFormatting>
  <dataValidations count="2">
    <dataValidation type="list" allowBlank="1" showInputMessage="1" showErrorMessage="1" sqref="C5">
      <mc:AlternateContent xmlns:x12ac="http://schemas.microsoft.com/office/spreadsheetml/2011/1/ac" xmlns:mc="http://schemas.openxmlformats.org/markup-compatibility/2006">
        <mc:Choice Requires="x12ac">
          <x12ac:list>Memoria CNMC,"0,80","0,85","0,90"</x12ac:list>
        </mc:Choice>
        <mc:Fallback>
          <formula1>"Memoria CNMC,0,80,0,85,0,90"</formula1>
        </mc:Fallback>
      </mc:AlternateContent>
    </dataValidation>
    <dataValidation type="list" allowBlank="1" showInputMessage="1" showErrorMessage="1" sqref="D6">
      <mc:AlternateContent xmlns:x12ac="http://schemas.microsoft.com/office/spreadsheetml/2011/1/ac" xmlns:mc="http://schemas.openxmlformats.org/markup-compatibility/2006">
        <mc:Choice Requires="x12ac">
          <x12ac:list>0,"0,10","0,15","0,20","0,25","0,30","0,35","0,40","0,45","0,50"</x12ac:list>
        </mc:Choice>
        <mc:Fallback>
          <formula1>"0,0,10,0,15,0,20,0,25,0,30,0,35,0,40,0,45,0,50"</formula1>
        </mc:Fallback>
      </mc:AlternateContent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2" orientation="landscape" r:id="rId3"/>
  <headerFooter>
    <oddHeader>&amp;LANEXO I: CÁLCULOS DEL IMPACTO INICIAL DE LA NUEVA METODOLOGÍA DE PEAJES SOBRE LOS CLIENTES&amp;R&amp;A</oddHeader>
  </headerFooter>
  <drawing r:id="rId4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BB29"/>
  <sheetViews>
    <sheetView showGridLines="0" zoomScale="80" zoomScaleNormal="80" workbookViewId="0">
      <pane ySplit="9" topLeftCell="A43" activePane="bottomLeft" state="frozen"/>
      <selection activeCell="AD62" sqref="AD62"/>
      <selection pane="bottomLeft" activeCell="AD62" sqref="AD62"/>
    </sheetView>
  </sheetViews>
  <sheetFormatPr baseColWidth="10" defaultColWidth="11" defaultRowHeight="16.5" outlineLevelCol="1"/>
  <cols>
    <col min="1" max="1" width="2.140625" style="67" customWidth="1"/>
    <col min="2" max="2" width="10.140625" style="66" customWidth="1"/>
    <col min="3" max="3" width="6.7109375" style="67" customWidth="1"/>
    <col min="4" max="4" width="10.42578125" style="67" customWidth="1"/>
    <col min="5" max="5" width="8.42578125" style="67" customWidth="1"/>
    <col min="6" max="6" width="13.42578125" style="74" hidden="1" customWidth="1" outlineLevel="1"/>
    <col min="7" max="7" width="9.7109375" style="74" customWidth="1" outlineLevel="1"/>
    <col min="8" max="8" width="12.5703125" style="78" hidden="1" customWidth="1" outlineLevel="1"/>
    <col min="9" max="9" width="11.5703125" style="78" hidden="1" customWidth="1" outlineLevel="1"/>
    <col min="10" max="10" width="13.28515625" style="78" customWidth="1" collapsed="1"/>
    <col min="11" max="11" width="13.42578125" style="67" hidden="1" customWidth="1" outlineLevel="1"/>
    <col min="12" max="12" width="14.5703125" style="67" customWidth="1" collapsed="1"/>
    <col min="13" max="13" width="13.42578125" style="67" hidden="1" customWidth="1" outlineLevel="1"/>
    <col min="14" max="14" width="8.28515625" style="67" customWidth="1" outlineLevel="1"/>
    <col min="15" max="15" width="14.140625" style="67" hidden="1" customWidth="1" outlineLevel="1"/>
    <col min="16" max="16" width="12.5703125" style="67" hidden="1" customWidth="1" outlineLevel="1"/>
    <col min="17" max="17" width="14.140625" style="67" bestFit="1" customWidth="1" collapsed="1"/>
    <col min="18" max="18" width="17.28515625" style="67" bestFit="1" customWidth="1"/>
    <col min="19" max="19" width="8.5703125" style="67" customWidth="1"/>
    <col min="20" max="20" width="1.42578125" style="67" customWidth="1"/>
    <col min="21" max="21" width="9" style="67" customWidth="1"/>
    <col min="22" max="22" width="13.42578125" style="67" hidden="1" customWidth="1" outlineLevel="1"/>
    <col min="23" max="23" width="8.5703125" style="67" hidden="1" customWidth="1" outlineLevel="1"/>
    <col min="24" max="24" width="12.5703125" style="67" hidden="1" customWidth="1" outlineLevel="1"/>
    <col min="25" max="25" width="11.5703125" style="67" hidden="1" customWidth="1" outlineLevel="1"/>
    <col min="26" max="26" width="14.140625" style="67" bestFit="1" customWidth="1" collapsed="1"/>
    <col min="27" max="27" width="14.140625" style="67" hidden="1" customWidth="1" outlineLevel="1"/>
    <col min="28" max="28" width="14.140625" style="67" customWidth="1" collapsed="1"/>
    <col min="29" max="32" width="13.42578125" style="67" hidden="1" customWidth="1" outlineLevel="1"/>
    <col min="33" max="33" width="15.5703125" style="67" customWidth="1" collapsed="1"/>
    <col min="34" max="37" width="13.42578125" style="67" hidden="1" customWidth="1" outlineLevel="1"/>
    <col min="38" max="38" width="15.85546875" style="67" customWidth="1" collapsed="1"/>
    <col min="39" max="40" width="13.42578125" style="67" hidden="1" customWidth="1" outlineLevel="1"/>
    <col min="41" max="41" width="7.42578125" style="67" hidden="1" customWidth="1" outlineLevel="1"/>
    <col min="42" max="42" width="12.5703125" style="67" hidden="1" customWidth="1" outlineLevel="1"/>
    <col min="43" max="43" width="11.5703125" style="67" hidden="1" customWidth="1" outlineLevel="1"/>
    <col min="44" max="44" width="12.5703125" style="67" hidden="1" customWidth="1" outlineLevel="1"/>
    <col min="45" max="45" width="14.42578125" style="67" customWidth="1" collapsed="1"/>
    <col min="46" max="46" width="16.7109375" style="67" bestFit="1" customWidth="1"/>
    <col min="47" max="47" width="8.42578125" style="67" customWidth="1"/>
    <col min="48" max="48" width="0.7109375" style="67" customWidth="1"/>
    <col min="49" max="49" width="11" style="74" hidden="1" customWidth="1" outlineLevel="1"/>
    <col min="50" max="50" width="12.140625" style="74" hidden="1" customWidth="1" outlineLevel="1"/>
    <col min="51" max="51" width="10.5703125" style="67" hidden="1" customWidth="1" outlineLevel="1"/>
    <col min="52" max="52" width="13.85546875" style="67" customWidth="1" collapsed="1"/>
    <col min="53" max="53" width="9.42578125" style="67" customWidth="1"/>
    <col min="54" max="54" width="8.5703125" style="67" bestFit="1" customWidth="1"/>
    <col min="55" max="16384" width="11" style="67"/>
  </cols>
  <sheetData>
    <row r="2" spans="2:54" ht="18">
      <c r="B2" s="205" t="s">
        <v>137</v>
      </c>
    </row>
    <row r="3" spans="2:54" ht="20.25">
      <c r="B3" s="206" t="s">
        <v>139</v>
      </c>
    </row>
    <row r="5" spans="2:54">
      <c r="B5" s="128" t="s">
        <v>38</v>
      </c>
      <c r="C5" s="252">
        <v>0.85</v>
      </c>
      <c r="D5" s="253"/>
    </row>
    <row r="6" spans="2:54">
      <c r="B6" s="257" t="s">
        <v>106</v>
      </c>
      <c r="C6" s="257"/>
      <c r="D6" s="129">
        <v>0.35</v>
      </c>
      <c r="F6" s="244" t="s">
        <v>100</v>
      </c>
      <c r="G6" s="245"/>
      <c r="H6" s="245"/>
      <c r="I6" s="245"/>
      <c r="J6" s="245"/>
      <c r="K6" s="245"/>
      <c r="L6" s="245"/>
      <c r="M6" s="245"/>
      <c r="N6" s="245"/>
      <c r="O6" s="245"/>
      <c r="P6" s="245"/>
      <c r="Q6" s="245"/>
      <c r="R6" s="245"/>
      <c r="S6" s="246"/>
      <c r="V6" s="247" t="s">
        <v>101</v>
      </c>
      <c r="W6" s="248"/>
      <c r="X6" s="248"/>
      <c r="Y6" s="248"/>
      <c r="Z6" s="248"/>
      <c r="AA6" s="248"/>
      <c r="AB6" s="248"/>
      <c r="AC6" s="248"/>
      <c r="AD6" s="248"/>
      <c r="AE6" s="248"/>
      <c r="AF6" s="248"/>
      <c r="AG6" s="248"/>
      <c r="AH6" s="248"/>
      <c r="AI6" s="248"/>
      <c r="AJ6" s="248"/>
      <c r="AK6" s="248"/>
      <c r="AL6" s="248"/>
      <c r="AM6" s="248"/>
      <c r="AN6" s="248"/>
      <c r="AO6" s="248"/>
      <c r="AP6" s="248"/>
      <c r="AQ6" s="248"/>
      <c r="AR6" s="248"/>
      <c r="AS6" s="248"/>
      <c r="AT6" s="248"/>
      <c r="AU6" s="249"/>
    </row>
    <row r="7" spans="2:54">
      <c r="F7" s="254" t="s">
        <v>94</v>
      </c>
      <c r="G7" s="255"/>
      <c r="H7" s="255"/>
      <c r="I7" s="255"/>
      <c r="J7" s="256"/>
      <c r="K7" s="254" t="s">
        <v>95</v>
      </c>
      <c r="L7" s="256"/>
      <c r="M7" s="254" t="s">
        <v>96</v>
      </c>
      <c r="N7" s="255"/>
      <c r="O7" s="255"/>
      <c r="P7" s="255"/>
      <c r="Q7" s="256"/>
      <c r="R7" s="254" t="s">
        <v>99</v>
      </c>
      <c r="S7" s="256"/>
      <c r="V7" s="240" t="s">
        <v>94</v>
      </c>
      <c r="W7" s="241"/>
      <c r="X7" s="241"/>
      <c r="Y7" s="241"/>
      <c r="Z7" s="242"/>
      <c r="AA7" s="240" t="s">
        <v>133</v>
      </c>
      <c r="AB7" s="242"/>
      <c r="AC7" s="240" t="s">
        <v>134</v>
      </c>
      <c r="AD7" s="241"/>
      <c r="AE7" s="241"/>
      <c r="AF7" s="241"/>
      <c r="AG7" s="242"/>
      <c r="AH7" s="240" t="s">
        <v>135</v>
      </c>
      <c r="AI7" s="241"/>
      <c r="AJ7" s="241"/>
      <c r="AK7" s="241"/>
      <c r="AL7" s="242"/>
      <c r="AM7" s="240" t="s">
        <v>104</v>
      </c>
      <c r="AN7" s="241"/>
      <c r="AO7" s="241"/>
      <c r="AP7" s="241"/>
      <c r="AQ7" s="241"/>
      <c r="AR7" s="241"/>
      <c r="AS7" s="242"/>
      <c r="AT7" s="240" t="s">
        <v>99</v>
      </c>
      <c r="AU7" s="242"/>
    </row>
    <row r="8" spans="2:54">
      <c r="B8" s="68" t="s">
        <v>86</v>
      </c>
      <c r="C8" s="148" t="s">
        <v>38</v>
      </c>
      <c r="D8" s="147" t="s">
        <v>88</v>
      </c>
      <c r="F8" s="142" t="s">
        <v>54</v>
      </c>
      <c r="G8" s="82" t="s">
        <v>91</v>
      </c>
      <c r="H8" s="85" t="s">
        <v>54</v>
      </c>
      <c r="I8" s="85" t="s">
        <v>91</v>
      </c>
      <c r="J8" s="86" t="s">
        <v>92</v>
      </c>
      <c r="K8" s="142" t="s">
        <v>54</v>
      </c>
      <c r="L8" s="143" t="s">
        <v>92</v>
      </c>
      <c r="M8" s="142" t="s">
        <v>90</v>
      </c>
      <c r="N8" s="82" t="s">
        <v>91</v>
      </c>
      <c r="O8" s="82" t="s">
        <v>90</v>
      </c>
      <c r="P8" s="82" t="s">
        <v>91</v>
      </c>
      <c r="Q8" s="143" t="s">
        <v>92</v>
      </c>
      <c r="R8" s="238" t="s">
        <v>98</v>
      </c>
      <c r="S8" s="239"/>
      <c r="V8" s="145" t="s">
        <v>54</v>
      </c>
      <c r="W8" s="91" t="s">
        <v>91</v>
      </c>
      <c r="X8" s="92" t="s">
        <v>54</v>
      </c>
      <c r="Y8" s="92" t="s">
        <v>91</v>
      </c>
      <c r="Z8" s="93" t="s">
        <v>92</v>
      </c>
      <c r="AA8" s="198"/>
      <c r="AB8" s="197" t="s">
        <v>92</v>
      </c>
      <c r="AC8" s="145" t="s">
        <v>54</v>
      </c>
      <c r="AD8" s="91" t="s">
        <v>91</v>
      </c>
      <c r="AE8" s="91" t="s">
        <v>54</v>
      </c>
      <c r="AF8" s="91" t="s">
        <v>91</v>
      </c>
      <c r="AG8" s="146" t="s">
        <v>92</v>
      </c>
      <c r="AH8" s="145" t="s">
        <v>54</v>
      </c>
      <c r="AI8" s="91" t="s">
        <v>91</v>
      </c>
      <c r="AJ8" s="91" t="s">
        <v>54</v>
      </c>
      <c r="AK8" s="91" t="s">
        <v>91</v>
      </c>
      <c r="AL8" s="146" t="s">
        <v>92</v>
      </c>
      <c r="AM8" s="145" t="s">
        <v>90</v>
      </c>
      <c r="AN8" s="91" t="s">
        <v>50</v>
      </c>
      <c r="AO8" s="91" t="s">
        <v>91</v>
      </c>
      <c r="AP8" s="91" t="s">
        <v>90</v>
      </c>
      <c r="AQ8" s="91" t="s">
        <v>50</v>
      </c>
      <c r="AR8" s="91" t="s">
        <v>91</v>
      </c>
      <c r="AS8" s="146" t="s">
        <v>92</v>
      </c>
      <c r="AT8" s="250" t="s">
        <v>98</v>
      </c>
      <c r="AU8" s="251"/>
      <c r="AW8" s="144" t="s">
        <v>94</v>
      </c>
      <c r="AX8" s="144" t="s">
        <v>95</v>
      </c>
      <c r="AY8" s="144" t="s">
        <v>96</v>
      </c>
      <c r="AZ8" s="243" t="s">
        <v>92</v>
      </c>
      <c r="BA8" s="243"/>
    </row>
    <row r="9" spans="2:54" s="74" customFormat="1">
      <c r="B9" s="71" t="s">
        <v>87</v>
      </c>
      <c r="C9" s="72" t="s">
        <v>53</v>
      </c>
      <c r="D9" s="73" t="s">
        <v>37</v>
      </c>
      <c r="E9" s="136" t="s">
        <v>89</v>
      </c>
      <c r="F9" s="73" t="s">
        <v>58</v>
      </c>
      <c r="G9" s="73" t="s">
        <v>12</v>
      </c>
      <c r="H9" s="77" t="s">
        <v>93</v>
      </c>
      <c r="I9" s="77" t="s">
        <v>93</v>
      </c>
      <c r="J9" s="77" t="s">
        <v>93</v>
      </c>
      <c r="K9" s="73" t="s">
        <v>58</v>
      </c>
      <c r="L9" s="73" t="s">
        <v>93</v>
      </c>
      <c r="M9" s="73" t="s">
        <v>58</v>
      </c>
      <c r="N9" s="73" t="s">
        <v>12</v>
      </c>
      <c r="O9" s="73" t="s">
        <v>93</v>
      </c>
      <c r="P9" s="73" t="s">
        <v>93</v>
      </c>
      <c r="Q9" s="73" t="s">
        <v>93</v>
      </c>
      <c r="R9" s="73" t="s">
        <v>93</v>
      </c>
      <c r="S9" s="73" t="s">
        <v>12</v>
      </c>
      <c r="U9" s="135" t="s">
        <v>89</v>
      </c>
      <c r="V9" s="73" t="s">
        <v>58</v>
      </c>
      <c r="W9" s="73" t="s">
        <v>12</v>
      </c>
      <c r="X9" s="77" t="s">
        <v>93</v>
      </c>
      <c r="Y9" s="77" t="s">
        <v>93</v>
      </c>
      <c r="Z9" s="77" t="s">
        <v>93</v>
      </c>
      <c r="AA9" s="73" t="s">
        <v>12</v>
      </c>
      <c r="AB9" s="77" t="s">
        <v>93</v>
      </c>
      <c r="AC9" s="73" t="s">
        <v>58</v>
      </c>
      <c r="AD9" s="73" t="s">
        <v>12</v>
      </c>
      <c r="AE9" s="73" t="s">
        <v>93</v>
      </c>
      <c r="AF9" s="73" t="s">
        <v>93</v>
      </c>
      <c r="AG9" s="73" t="s">
        <v>93</v>
      </c>
      <c r="AH9" s="73" t="s">
        <v>58</v>
      </c>
      <c r="AI9" s="73" t="s">
        <v>12</v>
      </c>
      <c r="AJ9" s="73" t="s">
        <v>93</v>
      </c>
      <c r="AK9" s="73" t="s">
        <v>93</v>
      </c>
      <c r="AL9" s="73" t="s">
        <v>93</v>
      </c>
      <c r="AM9" s="73" t="s">
        <v>58</v>
      </c>
      <c r="AN9" s="73" t="s">
        <v>97</v>
      </c>
      <c r="AO9" s="73" t="s">
        <v>12</v>
      </c>
      <c r="AP9" s="73" t="s">
        <v>93</v>
      </c>
      <c r="AQ9" s="73" t="s">
        <v>93</v>
      </c>
      <c r="AR9" s="73" t="s">
        <v>93</v>
      </c>
      <c r="AS9" s="73" t="s">
        <v>93</v>
      </c>
      <c r="AT9" s="73" t="s">
        <v>93</v>
      </c>
      <c r="AU9" s="73" t="s">
        <v>12</v>
      </c>
      <c r="AW9" s="101" t="s">
        <v>102</v>
      </c>
      <c r="AX9" s="101" t="s">
        <v>102</v>
      </c>
      <c r="AY9" s="101" t="s">
        <v>102</v>
      </c>
      <c r="AZ9" s="103" t="s">
        <v>103</v>
      </c>
      <c r="BA9" s="104" t="s">
        <v>53</v>
      </c>
      <c r="BB9" s="191" t="s">
        <v>126</v>
      </c>
    </row>
    <row r="10" spans="2:54">
      <c r="B10" s="105">
        <v>8250</v>
      </c>
      <c r="C10" s="112">
        <f>IF($C$5&lt;&gt;"Memoria CNMC",$C$5,IF(B10&gt;'Tipología Clientes'!$C$16,'Tipología Clientes'!$L$16,IF(B10&gt;'Tipología Clientes'!$C$15,'Tipología Clientes'!$L$15,IF(B10&gt;'Tipología Clientes'!$C$14,'Tipología Clientes'!$L$14,IF(B10&gt;'Tipología Clientes'!$C$13,'Tipología Clientes'!$L$13,IF(B10&gt;'Tipología Clientes'!$C$12,'Tipología Clientes'!$L$12,IF(B10&gt;'Tipología Clientes'!$C$11,'Tipología Clientes'!$L$11,IF(B10&gt;'Tipología Clientes'!$C$10,'Tipología Clientes'!$L$10,IF(B10&gt;'Tipología Clientes'!$C$9,'Tipología Clientes'!$L$9,IF(B10&gt;'Tipología Clientes'!$C$8,'Tipología Clientes'!$L$8,IF(B10&gt;'Tipología Clientes'!$C$7,'Tipología Clientes'!$L$7,'Tipología Clientes'!$L$6)))))))))))</f>
        <v>0.85</v>
      </c>
      <c r="D10" s="113">
        <f>B10/365/C10</f>
        <v>26.591458501208702</v>
      </c>
      <c r="E10" s="76" t="str">
        <f>IF(B10&gt;'Peajes Actuales'!$C$15,'Peajes Actuales'!$B$15,IF(B10&gt;'Peajes Actuales'!$C$14,'Peajes Actuales'!$B$14,IF(B10&gt;'Peajes Actuales'!$C$13,'Peajes Actuales'!$B$13,IF(B10&gt;'Peajes Actuales'!$C$12,'Peajes Actuales'!$B$12,'Peajes Actuales'!$B$11))))</f>
        <v>3.5</v>
      </c>
      <c r="F10" s="88">
        <f>'Peajes Actuales'!$H$29</f>
        <v>19.612000000000002</v>
      </c>
      <c r="G10" s="88">
        <f>'Peajes Actuales'!$I$29</f>
        <v>0.11599999999999999</v>
      </c>
      <c r="H10" s="123">
        <f>D10*F10*12</f>
        <v>6258.1402095084613</v>
      </c>
      <c r="I10" s="123">
        <f>B10*G10</f>
        <v>956.99999999999989</v>
      </c>
      <c r="J10" s="122">
        <f>H10+I10</f>
        <v>7215.1402095084613</v>
      </c>
      <c r="K10" s="89">
        <f>'Peajes Actuales'!$I$5</f>
        <v>10.848000000000001</v>
      </c>
      <c r="L10" s="122">
        <f>12*K10*D10</f>
        <v>3461.5697018533447</v>
      </c>
      <c r="M10" s="90">
        <f>VLOOKUP(E10,'Peajes Actuales'!$B$15:$J$15,7,FALSE)</f>
        <v>59.258000000000003</v>
      </c>
      <c r="N10" s="90">
        <f>VLOOKUP(E10,'Peajes Actuales'!$B$15:$J$15,9,FALSE)</f>
        <v>2.0099999999999998</v>
      </c>
      <c r="O10" s="123">
        <f>IF($D$6&lt;=0.3,M10*D10*12,(D10-$D$6*0.5*D10)*M10*12)</f>
        <v>15599.990813859789</v>
      </c>
      <c r="P10" s="123">
        <f>B10*N10</f>
        <v>16582.5</v>
      </c>
      <c r="Q10" s="122">
        <f>SUM(O10:P10)</f>
        <v>32182.490813859789</v>
      </c>
      <c r="R10" s="124">
        <f>J10+L10+Q10</f>
        <v>42859.200725221599</v>
      </c>
      <c r="S10" s="79">
        <f>R10/B10</f>
        <v>5.1950546333601935</v>
      </c>
      <c r="U10" s="76" t="str">
        <f>IF(B10&gt;'Peajes Circular CNMC'!$C$23,'Peajes Circular CNMC'!$B$23,IF(B10&gt;'Peajes Circular CNMC'!$C$22,'Peajes Circular CNMC'!$B$22,IF(B10&gt;'Peajes Circular CNMC'!$C$21,'Peajes Circular CNMC'!$B$21,IF(B10&gt;'Peajes Circular CNMC'!$C$20,'Peajes Circular CNMC'!$B$20,IF(B10&gt;'Peajes Circular CNMC'!$C$19,'Peajes Circular CNMC'!$B$19,IF(B10&gt;'Peajes Circular CNMC'!$C$18,'Peajes Circular CNMC'!$B$18,IF(B10&gt;'Peajes Circular CNMC'!$C$17,'Peajes Circular CNMC'!$B$17,IF(B10&gt;'Peajes Circular CNMC'!$C$16,'Peajes Circular CNMC'!$B$16,IF(B10&gt;'Peajes Circular CNMC'!$C$15,'Peajes Circular CNMC'!$B$15,IF(B10&gt;'Peajes Circular CNMC'!$C$14,'Peajes Circular CNMC'!$B$14,'Peajes Circular CNMC'!$B$13))))))))))</f>
        <v>D.7</v>
      </c>
      <c r="V10" s="96">
        <f>'Peajes Circular CNMC'!$H$30</f>
        <v>29.867609999999999</v>
      </c>
      <c r="W10" s="88">
        <f>'Peajes Circular CNMC'!$I$30</f>
        <v>0.15190999999999999</v>
      </c>
      <c r="X10" s="123">
        <f>12*V10*D10</f>
        <v>9530.679742143433</v>
      </c>
      <c r="Y10" s="123">
        <f>W10*B10</f>
        <v>1253.2574999999999</v>
      </c>
      <c r="Z10" s="122">
        <f>X10+Y10</f>
        <v>10783.937242143433</v>
      </c>
      <c r="AA10" s="88">
        <f>'Peajes Circular CNMC'!$H$35</f>
        <v>0.26106499999999999</v>
      </c>
      <c r="AB10" s="122">
        <f>B10*AA10</f>
        <v>2153.7862500000001</v>
      </c>
      <c r="AC10" s="97">
        <f>'Peajes Circular CNMC'!$J$6</f>
        <v>20.326666666666664</v>
      </c>
      <c r="AD10" s="97">
        <f>'Peajes Circular CNMC'!$J$7</f>
        <v>2.2599999999999999E-2</v>
      </c>
      <c r="AE10" s="123">
        <f>AC10*12*D10</f>
        <v>6486.1885576148252</v>
      </c>
      <c r="AF10" s="123">
        <f>AD10*B10</f>
        <v>186.45</v>
      </c>
      <c r="AG10" s="122">
        <f>AE10+AF10</f>
        <v>6672.638557614825</v>
      </c>
      <c r="AH10" s="97">
        <f>'Peajes Circular CNMC'!$K$6</f>
        <v>12.351666666666667</v>
      </c>
      <c r="AI10" s="97">
        <f>'Peajes Circular CNMC'!$K$7</f>
        <v>2.2599999999999999E-2</v>
      </c>
      <c r="AJ10" s="123">
        <f>AH10*12*D10</f>
        <v>3941.3859790491538</v>
      </c>
      <c r="AK10" s="123">
        <f>AI10*B10</f>
        <v>186.45</v>
      </c>
      <c r="AL10" s="122">
        <f>AJ10+AK10</f>
        <v>4127.835979049154</v>
      </c>
      <c r="AM10" s="98">
        <f>VLOOKUP(U10,'Peajes Circular CNMC'!$B$13:$J$23,7,FALSE)</f>
        <v>86.737500000000011</v>
      </c>
      <c r="AN10" s="87">
        <f>VLOOKUP(U10,'Peajes Circular CNMC'!$B$13:$J$23,8,FALSE)</f>
        <v>0</v>
      </c>
      <c r="AO10" s="87">
        <f>VLOOKUP(U10,'Peajes Circular CNMC'!$B$13:$J$23,9,FALSE)</f>
        <v>1.0900000000000001</v>
      </c>
      <c r="AP10" s="123">
        <f>12*AM10*D10</f>
        <v>27677.719580983081</v>
      </c>
      <c r="AQ10" s="123">
        <f>12*AN10</f>
        <v>0</v>
      </c>
      <c r="AR10" s="123">
        <f>AO10*B10</f>
        <v>8992.5</v>
      </c>
      <c r="AS10" s="122">
        <f>AP10+AQ10+AR10</f>
        <v>36670.219580983081</v>
      </c>
      <c r="AT10" s="124">
        <f>Z10+AB10+AG10+AL10+AS10</f>
        <v>60408.417609790493</v>
      </c>
      <c r="AU10" s="79">
        <f>AT10/B10</f>
        <v>7.3222324375503627</v>
      </c>
      <c r="AW10" s="75">
        <f>(Z10-J10)/J10</f>
        <v>0.49462615126062798</v>
      </c>
      <c r="AX10" s="100">
        <f>(AG10-L10)/L10</f>
        <v>0.92763374201081528</v>
      </c>
      <c r="AY10" s="100">
        <f>(AL10+AS10-Q10)/Q10</f>
        <v>0.26770969332373873</v>
      </c>
      <c r="AZ10" s="125">
        <f t="shared" ref="AZ10:AZ22" si="0">AT10-R10</f>
        <v>17549.216884568894</v>
      </c>
      <c r="BA10" s="100">
        <f t="shared" ref="BA10:BA22" si="1">AZ10/R10</f>
        <v>0.4094620661985795</v>
      </c>
      <c r="BB10" s="192">
        <f>AU10-S10</f>
        <v>2.1271778041901692</v>
      </c>
    </row>
    <row r="11" spans="2:54">
      <c r="B11" s="105">
        <v>8500</v>
      </c>
      <c r="C11" s="112">
        <f>IF($C$5&lt;&gt;"Memoria CNMC",$C$5,IF(B11&gt;'Tipología Clientes'!$C$16,'Tipología Clientes'!$L$16,IF(B11&gt;'Tipología Clientes'!$C$15,'Tipología Clientes'!$L$15,IF(B11&gt;'Tipología Clientes'!$C$14,'Tipología Clientes'!$L$14,IF(B11&gt;'Tipología Clientes'!$C$13,'Tipología Clientes'!$L$13,IF(B11&gt;'Tipología Clientes'!$C$12,'Tipología Clientes'!$L$12,IF(B11&gt;'Tipología Clientes'!$C$11,'Tipología Clientes'!$L$11,IF(B11&gt;'Tipología Clientes'!$C$10,'Tipología Clientes'!$L$10,IF(B11&gt;'Tipología Clientes'!$C$9,'Tipología Clientes'!$L$9,IF(B11&gt;'Tipología Clientes'!$C$8,'Tipología Clientes'!$L$8,IF(B11&gt;'Tipología Clientes'!$C$7,'Tipología Clientes'!$L$7,'Tipología Clientes'!$L$6)))))))))))</f>
        <v>0.85</v>
      </c>
      <c r="D11" s="113">
        <f t="shared" ref="D11:D22" si="2">B11/365/C11</f>
        <v>27.397260273972602</v>
      </c>
      <c r="E11" s="76" t="str">
        <f>IF(B11&gt;'Peajes Actuales'!$C$15,'Peajes Actuales'!$B$15,IF(B11&gt;'Peajes Actuales'!$C$14,'Peajes Actuales'!$B$14,IF(B11&gt;'Peajes Actuales'!$C$13,'Peajes Actuales'!$B$13,IF(B11&gt;'Peajes Actuales'!$C$12,'Peajes Actuales'!$B$12,'Peajes Actuales'!$B$11))))</f>
        <v>3.5</v>
      </c>
      <c r="F11" s="88">
        <f>'Peajes Actuales'!$H$29</f>
        <v>19.612000000000002</v>
      </c>
      <c r="G11" s="88">
        <f>'Peajes Actuales'!$I$29</f>
        <v>0.11599999999999999</v>
      </c>
      <c r="H11" s="123">
        <f t="shared" ref="H11:H22" si="3">D11*F11*12</f>
        <v>6447.7808219178096</v>
      </c>
      <c r="I11" s="123">
        <f t="shared" ref="I11:I22" si="4">B11*G11</f>
        <v>985.99999999999989</v>
      </c>
      <c r="J11" s="122">
        <f t="shared" ref="J11:J22" si="5">H11+I11</f>
        <v>7433.7808219178096</v>
      </c>
      <c r="K11" s="89">
        <f>'Peajes Actuales'!$I$5</f>
        <v>10.848000000000001</v>
      </c>
      <c r="L11" s="122">
        <f t="shared" ref="L11:L22" si="6">12*K11*D11</f>
        <v>3566.465753424658</v>
      </c>
      <c r="M11" s="90">
        <f>VLOOKUP(E11,'Peajes Actuales'!$B$15:$J$15,7,FALSE)</f>
        <v>59.258000000000003</v>
      </c>
      <c r="N11" s="90">
        <f>VLOOKUP(E11,'Peajes Actuales'!$B$15:$J$15,9,FALSE)</f>
        <v>2.0099999999999998</v>
      </c>
      <c r="O11" s="123">
        <f t="shared" ref="O11:O22" si="7">IF($D$6&lt;=0.3,M11*D11*12,(D11-$D$6*0.5*D11)*M11*12)</f>
        <v>16072.71780821918</v>
      </c>
      <c r="P11" s="123">
        <f t="shared" ref="P11:P22" si="8">B11*N11</f>
        <v>17085</v>
      </c>
      <c r="Q11" s="122">
        <f t="shared" ref="Q11:Q22" si="9">SUM(O11:P11)</f>
        <v>33157.717808219182</v>
      </c>
      <c r="R11" s="124">
        <f t="shared" ref="R11:R22" si="10">J11+L11+Q11</f>
        <v>44157.964383561652</v>
      </c>
      <c r="S11" s="79">
        <f t="shared" ref="S11:S22" si="11">R11/B11</f>
        <v>5.1950546333601944</v>
      </c>
      <c r="U11" s="76" t="str">
        <f>IF(B11&gt;'Peajes Circular CNMC'!$C$23,'Peajes Circular CNMC'!$B$23,IF(B11&gt;'Peajes Circular CNMC'!$C$22,'Peajes Circular CNMC'!$B$22,IF(B11&gt;'Peajes Circular CNMC'!$C$21,'Peajes Circular CNMC'!$B$21,IF(B11&gt;'Peajes Circular CNMC'!$C$20,'Peajes Circular CNMC'!$B$20,IF(B11&gt;'Peajes Circular CNMC'!$C$19,'Peajes Circular CNMC'!$B$19,IF(B11&gt;'Peajes Circular CNMC'!$C$18,'Peajes Circular CNMC'!$B$18,IF(B11&gt;'Peajes Circular CNMC'!$C$17,'Peajes Circular CNMC'!$B$17,IF(B11&gt;'Peajes Circular CNMC'!$C$16,'Peajes Circular CNMC'!$B$16,IF(B11&gt;'Peajes Circular CNMC'!$C$15,'Peajes Circular CNMC'!$B$15,IF(B11&gt;'Peajes Circular CNMC'!$C$14,'Peajes Circular CNMC'!$B$14,'Peajes Circular CNMC'!$B$13))))))))))</f>
        <v>D.7</v>
      </c>
      <c r="V11" s="96">
        <f>'Peajes Circular CNMC'!$H$30</f>
        <v>29.867609999999999</v>
      </c>
      <c r="W11" s="88">
        <f>'Peajes Circular CNMC'!$I$30</f>
        <v>0.15190999999999999</v>
      </c>
      <c r="X11" s="123">
        <f t="shared" ref="X11:X22" si="12">12*V11*D11</f>
        <v>9819.4882191780816</v>
      </c>
      <c r="Y11" s="123">
        <f t="shared" ref="Y11:Y22" si="13">W11*B11</f>
        <v>1291.2349999999999</v>
      </c>
      <c r="Z11" s="122">
        <f t="shared" ref="Z11:Z22" si="14">X11+Y11</f>
        <v>11110.723219178082</v>
      </c>
      <c r="AA11" s="88">
        <f>'Peajes Circular CNMC'!$H$35</f>
        <v>0.26106499999999999</v>
      </c>
      <c r="AB11" s="122">
        <f t="shared" ref="AB11:AB22" si="15">B11*AA11</f>
        <v>2219.0524999999998</v>
      </c>
      <c r="AC11" s="97">
        <f>'Peajes Circular CNMC'!$J$6</f>
        <v>20.326666666666664</v>
      </c>
      <c r="AD11" s="97">
        <f>'Peajes Circular CNMC'!$J$7</f>
        <v>2.2599999999999999E-2</v>
      </c>
      <c r="AE11" s="123">
        <f t="shared" ref="AE11:AE22" si="16">AC11*12*D11</f>
        <v>6682.7397260273956</v>
      </c>
      <c r="AF11" s="123">
        <f t="shared" ref="AF11:AF22" si="17">AD11*B11</f>
        <v>192.1</v>
      </c>
      <c r="AG11" s="122">
        <f t="shared" ref="AG11:AG22" si="18">AE11+AF11</f>
        <v>6874.839726027396</v>
      </c>
      <c r="AH11" s="97">
        <f>'Peajes Circular CNMC'!$K$6</f>
        <v>12.351666666666667</v>
      </c>
      <c r="AI11" s="97">
        <f>'Peajes Circular CNMC'!$K$7</f>
        <v>2.2599999999999999E-2</v>
      </c>
      <c r="AJ11" s="123">
        <f t="shared" ref="AJ11:AJ22" si="19">AH11*12*D11</f>
        <v>4060.821917808219</v>
      </c>
      <c r="AK11" s="123">
        <f t="shared" ref="AK11:AK22" si="20">AI11*B11</f>
        <v>192.1</v>
      </c>
      <c r="AL11" s="122">
        <f t="shared" ref="AL11:AL22" si="21">AJ11+AK11</f>
        <v>4252.9219178082194</v>
      </c>
      <c r="AM11" s="98">
        <f>VLOOKUP(U11,'Peajes Circular CNMC'!$B$13:$J$23,7,FALSE)</f>
        <v>86.737500000000011</v>
      </c>
      <c r="AN11" s="87">
        <f>VLOOKUP(U11,'Peajes Circular CNMC'!$B$13:$J$23,8,FALSE)</f>
        <v>0</v>
      </c>
      <c r="AO11" s="87">
        <f>VLOOKUP(U11,'Peajes Circular CNMC'!$B$13:$J$23,9,FALSE)</f>
        <v>1.0900000000000001</v>
      </c>
      <c r="AP11" s="123">
        <f t="shared" ref="AP11:AP22" si="22">12*AM11*D11</f>
        <v>28516.438356164388</v>
      </c>
      <c r="AQ11" s="123">
        <f t="shared" ref="AQ11:AQ22" si="23">12*AN11</f>
        <v>0</v>
      </c>
      <c r="AR11" s="123">
        <f t="shared" ref="AR11:AR22" si="24">AO11*B11</f>
        <v>9265</v>
      </c>
      <c r="AS11" s="122">
        <f t="shared" ref="AS11:AS22" si="25">AP11+AQ11+AR11</f>
        <v>37781.438356164392</v>
      </c>
      <c r="AT11" s="124">
        <f t="shared" ref="AT11:AT21" si="26">Z11+AB11+AG11+AL11+AS11</f>
        <v>62238.975719178088</v>
      </c>
      <c r="AU11" s="79">
        <f t="shared" ref="AU11:AU22" si="27">AT11/B11</f>
        <v>7.3222324375503636</v>
      </c>
      <c r="AW11" s="75">
        <f t="shared" ref="AW11:AW22" si="28">(Z11-J11)/J11</f>
        <v>0.49462615126062781</v>
      </c>
      <c r="AX11" s="100">
        <f t="shared" ref="AX11:AX22" si="29">(AG11-L11)/L11</f>
        <v>0.9276337420108155</v>
      </c>
      <c r="AY11" s="100">
        <f t="shared" ref="AY11:AY22" si="30">(AL11+AS11-Q11)/Q11</f>
        <v>0.26770969332373878</v>
      </c>
      <c r="AZ11" s="125">
        <f t="shared" si="0"/>
        <v>18081.011335616437</v>
      </c>
      <c r="BA11" s="100">
        <f t="shared" si="1"/>
        <v>0.4094620661985795</v>
      </c>
      <c r="BB11" s="192">
        <f t="shared" ref="BB11:BB22" si="31">AU11-S11</f>
        <v>2.1271778041901692</v>
      </c>
    </row>
    <row r="12" spans="2:54">
      <c r="B12" s="105">
        <v>9000</v>
      </c>
      <c r="C12" s="112">
        <f>IF($C$5&lt;&gt;"Memoria CNMC",$C$5,IF(B12&gt;'Tipología Clientes'!$C$16,'Tipología Clientes'!$L$16,IF(B12&gt;'Tipología Clientes'!$C$15,'Tipología Clientes'!$L$15,IF(B12&gt;'Tipología Clientes'!$C$14,'Tipología Clientes'!$L$14,IF(B12&gt;'Tipología Clientes'!$C$13,'Tipología Clientes'!$L$13,IF(B12&gt;'Tipología Clientes'!$C$12,'Tipología Clientes'!$L$12,IF(B12&gt;'Tipología Clientes'!$C$11,'Tipología Clientes'!$L$11,IF(B12&gt;'Tipología Clientes'!$C$10,'Tipología Clientes'!$L$10,IF(B12&gt;'Tipología Clientes'!$C$9,'Tipología Clientes'!$L$9,IF(B12&gt;'Tipología Clientes'!$C$8,'Tipología Clientes'!$L$8,IF(B12&gt;'Tipología Clientes'!$C$7,'Tipología Clientes'!$L$7,'Tipología Clientes'!$L$6)))))))))))</f>
        <v>0.85</v>
      </c>
      <c r="D12" s="113">
        <f t="shared" si="2"/>
        <v>29.008863819500402</v>
      </c>
      <c r="E12" s="76" t="str">
        <f>IF(B12&gt;'Peajes Actuales'!$C$15,'Peajes Actuales'!$B$15,IF(B12&gt;'Peajes Actuales'!$C$14,'Peajes Actuales'!$B$14,IF(B12&gt;'Peajes Actuales'!$C$13,'Peajes Actuales'!$B$13,IF(B12&gt;'Peajes Actuales'!$C$12,'Peajes Actuales'!$B$12,'Peajes Actuales'!$B$11))))</f>
        <v>3.5</v>
      </c>
      <c r="F12" s="88">
        <f>'Peajes Actuales'!$H$29</f>
        <v>19.612000000000002</v>
      </c>
      <c r="G12" s="88">
        <f>'Peajes Actuales'!$I$29</f>
        <v>0.11599999999999999</v>
      </c>
      <c r="H12" s="123">
        <f t="shared" si="3"/>
        <v>6827.0620467365025</v>
      </c>
      <c r="I12" s="123">
        <f t="shared" si="4"/>
        <v>1044</v>
      </c>
      <c r="J12" s="122">
        <f t="shared" si="5"/>
        <v>7871.0620467365025</v>
      </c>
      <c r="K12" s="89">
        <f>'Peajes Actuales'!$I$5</f>
        <v>10.848000000000001</v>
      </c>
      <c r="L12" s="122">
        <f t="shared" si="6"/>
        <v>3776.2578565672848</v>
      </c>
      <c r="M12" s="90">
        <f>VLOOKUP(E12,'Peajes Actuales'!$B$15:$J$15,7,FALSE)</f>
        <v>59.258000000000003</v>
      </c>
      <c r="N12" s="90">
        <f>VLOOKUP(E12,'Peajes Actuales'!$B$15:$J$15,9,FALSE)</f>
        <v>2.0099999999999998</v>
      </c>
      <c r="O12" s="123">
        <f t="shared" si="7"/>
        <v>17018.171796937953</v>
      </c>
      <c r="P12" s="123">
        <f t="shared" si="8"/>
        <v>18089.999999999996</v>
      </c>
      <c r="Q12" s="122">
        <f t="shared" si="9"/>
        <v>35108.171796937953</v>
      </c>
      <c r="R12" s="124">
        <f t="shared" si="10"/>
        <v>46755.491700241742</v>
      </c>
      <c r="S12" s="79">
        <f t="shared" si="11"/>
        <v>5.1950546333601935</v>
      </c>
      <c r="U12" s="76" t="str">
        <f>IF(B12&gt;'Peajes Circular CNMC'!$C$23,'Peajes Circular CNMC'!$B$23,IF(B12&gt;'Peajes Circular CNMC'!$C$22,'Peajes Circular CNMC'!$B$22,IF(B12&gt;'Peajes Circular CNMC'!$C$21,'Peajes Circular CNMC'!$B$21,IF(B12&gt;'Peajes Circular CNMC'!$C$20,'Peajes Circular CNMC'!$B$20,IF(B12&gt;'Peajes Circular CNMC'!$C$19,'Peajes Circular CNMC'!$B$19,IF(B12&gt;'Peajes Circular CNMC'!$C$18,'Peajes Circular CNMC'!$B$18,IF(B12&gt;'Peajes Circular CNMC'!$C$17,'Peajes Circular CNMC'!$B$17,IF(B12&gt;'Peajes Circular CNMC'!$C$16,'Peajes Circular CNMC'!$B$16,IF(B12&gt;'Peajes Circular CNMC'!$C$15,'Peajes Circular CNMC'!$B$15,IF(B12&gt;'Peajes Circular CNMC'!$C$14,'Peajes Circular CNMC'!$B$14,'Peajes Circular CNMC'!$B$13))))))))))</f>
        <v>D.7</v>
      </c>
      <c r="V12" s="96">
        <f>'Peajes Circular CNMC'!$H$30</f>
        <v>29.867609999999999</v>
      </c>
      <c r="W12" s="88">
        <f>'Peajes Circular CNMC'!$I$30</f>
        <v>0.15190999999999999</v>
      </c>
      <c r="X12" s="123">
        <f t="shared" si="12"/>
        <v>10397.105173247381</v>
      </c>
      <c r="Y12" s="123">
        <f t="shared" si="13"/>
        <v>1367.1899999999998</v>
      </c>
      <c r="Z12" s="122">
        <f t="shared" si="14"/>
        <v>11764.295173247381</v>
      </c>
      <c r="AA12" s="88">
        <f>'Peajes Circular CNMC'!$H$35</f>
        <v>0.26106499999999999</v>
      </c>
      <c r="AB12" s="122">
        <f t="shared" si="15"/>
        <v>2349.585</v>
      </c>
      <c r="AC12" s="97">
        <f>'Peajes Circular CNMC'!$J$6</f>
        <v>20.326666666666664</v>
      </c>
      <c r="AD12" s="97">
        <f>'Peajes Circular CNMC'!$J$7</f>
        <v>2.2599999999999999E-2</v>
      </c>
      <c r="AE12" s="123">
        <f t="shared" si="16"/>
        <v>7075.8420628525364</v>
      </c>
      <c r="AF12" s="123">
        <f t="shared" si="17"/>
        <v>203.39999999999998</v>
      </c>
      <c r="AG12" s="122">
        <f t="shared" si="18"/>
        <v>7279.242062852536</v>
      </c>
      <c r="AH12" s="97">
        <f>'Peajes Circular CNMC'!$K$6</f>
        <v>12.351666666666667</v>
      </c>
      <c r="AI12" s="97">
        <f>'Peajes Circular CNMC'!$K$7</f>
        <v>2.2599999999999999E-2</v>
      </c>
      <c r="AJ12" s="123">
        <f t="shared" si="19"/>
        <v>4299.6937953263496</v>
      </c>
      <c r="AK12" s="123">
        <f t="shared" si="20"/>
        <v>203.39999999999998</v>
      </c>
      <c r="AL12" s="122">
        <f t="shared" si="21"/>
        <v>4503.0937953263492</v>
      </c>
      <c r="AM12" s="98">
        <f>VLOOKUP(U12,'Peajes Circular CNMC'!$B$13:$J$23,7,FALSE)</f>
        <v>86.737500000000011</v>
      </c>
      <c r="AN12" s="87">
        <f>VLOOKUP(U12,'Peajes Circular CNMC'!$B$13:$J$23,8,FALSE)</f>
        <v>0</v>
      </c>
      <c r="AO12" s="87">
        <f>VLOOKUP(U12,'Peajes Circular CNMC'!$B$13:$J$23,9,FALSE)</f>
        <v>1.0900000000000001</v>
      </c>
      <c r="AP12" s="123">
        <f t="shared" si="22"/>
        <v>30193.875906526999</v>
      </c>
      <c r="AQ12" s="123">
        <f t="shared" si="23"/>
        <v>0</v>
      </c>
      <c r="AR12" s="123">
        <f t="shared" si="24"/>
        <v>9810</v>
      </c>
      <c r="AS12" s="122">
        <f t="shared" si="25"/>
        <v>40003.875906526999</v>
      </c>
      <c r="AT12" s="124">
        <f t="shared" si="26"/>
        <v>65900.091937953257</v>
      </c>
      <c r="AU12" s="79">
        <f t="shared" si="27"/>
        <v>7.3222324375503618</v>
      </c>
      <c r="AW12" s="75">
        <f t="shared" si="28"/>
        <v>0.49462615126062814</v>
      </c>
      <c r="AX12" s="100">
        <f t="shared" si="29"/>
        <v>0.92763374201081539</v>
      </c>
      <c r="AY12" s="100">
        <f t="shared" si="30"/>
        <v>0.26770969332373878</v>
      </c>
      <c r="AZ12" s="125">
        <f t="shared" si="0"/>
        <v>19144.600237711515</v>
      </c>
      <c r="BA12" s="100">
        <f t="shared" si="1"/>
        <v>0.40946206619857939</v>
      </c>
      <c r="BB12" s="192">
        <f t="shared" si="31"/>
        <v>2.1271778041901683</v>
      </c>
    </row>
    <row r="13" spans="2:54">
      <c r="B13" s="105">
        <v>9500</v>
      </c>
      <c r="C13" s="112">
        <f>IF($C$5&lt;&gt;"Memoria CNMC",$C$5,IF(B13&gt;'Tipología Clientes'!$C$16,'Tipología Clientes'!$L$16,IF(B13&gt;'Tipología Clientes'!$C$15,'Tipología Clientes'!$L$15,IF(B13&gt;'Tipología Clientes'!$C$14,'Tipología Clientes'!$L$14,IF(B13&gt;'Tipología Clientes'!$C$13,'Tipología Clientes'!$L$13,IF(B13&gt;'Tipología Clientes'!$C$12,'Tipología Clientes'!$L$12,IF(B13&gt;'Tipología Clientes'!$C$11,'Tipología Clientes'!$L$11,IF(B13&gt;'Tipología Clientes'!$C$10,'Tipología Clientes'!$L$10,IF(B13&gt;'Tipología Clientes'!$C$9,'Tipología Clientes'!$L$9,IF(B13&gt;'Tipología Clientes'!$C$8,'Tipología Clientes'!$L$8,IF(B13&gt;'Tipología Clientes'!$C$7,'Tipología Clientes'!$L$7,'Tipología Clientes'!$L$6)))))))))))</f>
        <v>0.85</v>
      </c>
      <c r="D13" s="113">
        <f t="shared" si="2"/>
        <v>30.620467365028205</v>
      </c>
      <c r="E13" s="76" t="str">
        <f>IF(B13&gt;'Peajes Actuales'!$C$15,'Peajes Actuales'!$B$15,IF(B13&gt;'Peajes Actuales'!$C$14,'Peajes Actuales'!$B$14,IF(B13&gt;'Peajes Actuales'!$C$13,'Peajes Actuales'!$B$13,IF(B13&gt;'Peajes Actuales'!$C$12,'Peajes Actuales'!$B$12,'Peajes Actuales'!$B$11))))</f>
        <v>3.5</v>
      </c>
      <c r="F13" s="88">
        <f>'Peajes Actuales'!$H$29</f>
        <v>19.612000000000002</v>
      </c>
      <c r="G13" s="88">
        <f>'Peajes Actuales'!$I$29</f>
        <v>0.11599999999999999</v>
      </c>
      <c r="H13" s="123">
        <f t="shared" si="3"/>
        <v>7206.343271555198</v>
      </c>
      <c r="I13" s="123">
        <f t="shared" si="4"/>
        <v>1102</v>
      </c>
      <c r="J13" s="122">
        <f t="shared" si="5"/>
        <v>8308.3432715551971</v>
      </c>
      <c r="K13" s="89">
        <f>'Peajes Actuales'!$I$5</f>
        <v>10.848000000000001</v>
      </c>
      <c r="L13" s="122">
        <f t="shared" si="6"/>
        <v>3986.0499597099119</v>
      </c>
      <c r="M13" s="90">
        <f>VLOOKUP(E13,'Peajes Actuales'!$B$15:$J$15,7,FALSE)</f>
        <v>59.258000000000003</v>
      </c>
      <c r="N13" s="90">
        <f>VLOOKUP(E13,'Peajes Actuales'!$B$15:$J$15,9,FALSE)</f>
        <v>2.0099999999999998</v>
      </c>
      <c r="O13" s="123">
        <f t="shared" si="7"/>
        <v>17963.625785656732</v>
      </c>
      <c r="P13" s="123">
        <f t="shared" si="8"/>
        <v>19094.999999999996</v>
      </c>
      <c r="Q13" s="122">
        <f t="shared" si="9"/>
        <v>37058.625785656724</v>
      </c>
      <c r="R13" s="124">
        <f t="shared" si="10"/>
        <v>49353.019016921833</v>
      </c>
      <c r="S13" s="79">
        <f t="shared" si="11"/>
        <v>5.1950546333601926</v>
      </c>
      <c r="U13" s="76" t="str">
        <f>IF(B13&gt;'Peajes Circular CNMC'!$C$23,'Peajes Circular CNMC'!$B$23,IF(B13&gt;'Peajes Circular CNMC'!$C$22,'Peajes Circular CNMC'!$B$22,IF(B13&gt;'Peajes Circular CNMC'!$C$21,'Peajes Circular CNMC'!$B$21,IF(B13&gt;'Peajes Circular CNMC'!$C$20,'Peajes Circular CNMC'!$B$20,IF(B13&gt;'Peajes Circular CNMC'!$C$19,'Peajes Circular CNMC'!$B$19,IF(B13&gt;'Peajes Circular CNMC'!$C$18,'Peajes Circular CNMC'!$B$18,IF(B13&gt;'Peajes Circular CNMC'!$C$17,'Peajes Circular CNMC'!$B$17,IF(B13&gt;'Peajes Circular CNMC'!$C$16,'Peajes Circular CNMC'!$B$16,IF(B13&gt;'Peajes Circular CNMC'!$C$15,'Peajes Circular CNMC'!$B$15,IF(B13&gt;'Peajes Circular CNMC'!$C$14,'Peajes Circular CNMC'!$B$14,'Peajes Circular CNMC'!$B$13))))))))))</f>
        <v>D.7</v>
      </c>
      <c r="V13" s="96">
        <f>'Peajes Circular CNMC'!$H$30</f>
        <v>29.867609999999999</v>
      </c>
      <c r="W13" s="88">
        <f>'Peajes Circular CNMC'!$I$30</f>
        <v>0.15190999999999999</v>
      </c>
      <c r="X13" s="123">
        <f t="shared" si="12"/>
        <v>10974.72212731668</v>
      </c>
      <c r="Y13" s="123">
        <f t="shared" si="13"/>
        <v>1443.145</v>
      </c>
      <c r="Z13" s="122">
        <f t="shared" si="14"/>
        <v>12417.86712731668</v>
      </c>
      <c r="AA13" s="88">
        <f>'Peajes Circular CNMC'!$H$35</f>
        <v>0.26106499999999999</v>
      </c>
      <c r="AB13" s="122">
        <f t="shared" si="15"/>
        <v>2480.1174999999998</v>
      </c>
      <c r="AC13" s="97">
        <f>'Peajes Circular CNMC'!$J$6</f>
        <v>20.326666666666664</v>
      </c>
      <c r="AD13" s="97">
        <f>'Peajes Circular CNMC'!$J$7</f>
        <v>2.2599999999999999E-2</v>
      </c>
      <c r="AE13" s="123">
        <f t="shared" si="16"/>
        <v>7468.9443996776781</v>
      </c>
      <c r="AF13" s="123">
        <f t="shared" si="17"/>
        <v>214.7</v>
      </c>
      <c r="AG13" s="122">
        <f t="shared" si="18"/>
        <v>7683.6443996776779</v>
      </c>
      <c r="AH13" s="97">
        <f>'Peajes Circular CNMC'!$K$6</f>
        <v>12.351666666666667</v>
      </c>
      <c r="AI13" s="97">
        <f>'Peajes Circular CNMC'!$K$7</f>
        <v>2.2599999999999999E-2</v>
      </c>
      <c r="AJ13" s="123">
        <f t="shared" si="19"/>
        <v>4538.5656728444801</v>
      </c>
      <c r="AK13" s="123">
        <f t="shared" si="20"/>
        <v>214.7</v>
      </c>
      <c r="AL13" s="122">
        <f t="shared" si="21"/>
        <v>4753.2656728444799</v>
      </c>
      <c r="AM13" s="98">
        <f>VLOOKUP(U13,'Peajes Circular CNMC'!$B$13:$J$23,7,FALSE)</f>
        <v>86.737500000000011</v>
      </c>
      <c r="AN13" s="87">
        <f>VLOOKUP(U13,'Peajes Circular CNMC'!$B$13:$J$23,8,FALSE)</f>
        <v>0</v>
      </c>
      <c r="AO13" s="87">
        <f>VLOOKUP(U13,'Peajes Circular CNMC'!$B$13:$J$23,9,FALSE)</f>
        <v>1.0900000000000001</v>
      </c>
      <c r="AP13" s="123">
        <f t="shared" si="22"/>
        <v>31871.313456889609</v>
      </c>
      <c r="AQ13" s="123">
        <f t="shared" si="23"/>
        <v>0</v>
      </c>
      <c r="AR13" s="123">
        <f t="shared" si="24"/>
        <v>10355</v>
      </c>
      <c r="AS13" s="122">
        <f t="shared" si="25"/>
        <v>42226.313456889606</v>
      </c>
      <c r="AT13" s="124">
        <f t="shared" si="26"/>
        <v>69561.208156728448</v>
      </c>
      <c r="AU13" s="79">
        <f t="shared" si="27"/>
        <v>7.3222324375503627</v>
      </c>
      <c r="AW13" s="75">
        <f t="shared" si="28"/>
        <v>0.49462615126062814</v>
      </c>
      <c r="AX13" s="100">
        <f t="shared" si="29"/>
        <v>0.9276337420108155</v>
      </c>
      <c r="AY13" s="100">
        <f t="shared" si="30"/>
        <v>0.26770969332373878</v>
      </c>
      <c r="AZ13" s="125">
        <f t="shared" si="0"/>
        <v>20208.189139806615</v>
      </c>
      <c r="BA13" s="100">
        <f t="shared" si="1"/>
        <v>0.40946206619857978</v>
      </c>
      <c r="BB13" s="192">
        <f t="shared" si="31"/>
        <v>2.1271778041901701</v>
      </c>
    </row>
    <row r="14" spans="2:54">
      <c r="B14" s="105">
        <v>10000</v>
      </c>
      <c r="C14" s="112">
        <f>IF($C$5&lt;&gt;"Memoria CNMC",$C$5,IF(B14&gt;'Tipología Clientes'!$C$16,'Tipología Clientes'!$L$16,IF(B14&gt;'Tipología Clientes'!$C$15,'Tipología Clientes'!$L$15,IF(B14&gt;'Tipología Clientes'!$C$14,'Tipología Clientes'!$L$14,IF(B14&gt;'Tipología Clientes'!$C$13,'Tipología Clientes'!$L$13,IF(B14&gt;'Tipología Clientes'!$C$12,'Tipología Clientes'!$L$12,IF(B14&gt;'Tipología Clientes'!$C$11,'Tipología Clientes'!$L$11,IF(B14&gt;'Tipología Clientes'!$C$10,'Tipología Clientes'!$L$10,IF(B14&gt;'Tipología Clientes'!$C$9,'Tipología Clientes'!$L$9,IF(B14&gt;'Tipología Clientes'!$C$8,'Tipología Clientes'!$L$8,IF(B14&gt;'Tipología Clientes'!$C$7,'Tipología Clientes'!$L$7,'Tipología Clientes'!$L$6)))))))))))</f>
        <v>0.85</v>
      </c>
      <c r="D14" s="113">
        <f t="shared" si="2"/>
        <v>32.232070910556004</v>
      </c>
      <c r="E14" s="76" t="str">
        <f>IF(B14&gt;'Peajes Actuales'!$C$15,'Peajes Actuales'!$B$15,IF(B14&gt;'Peajes Actuales'!$C$14,'Peajes Actuales'!$B$14,IF(B14&gt;'Peajes Actuales'!$C$13,'Peajes Actuales'!$B$13,IF(B14&gt;'Peajes Actuales'!$C$12,'Peajes Actuales'!$B$12,'Peajes Actuales'!$B$11))))</f>
        <v>3.5</v>
      </c>
      <c r="F14" s="88">
        <f>'Peajes Actuales'!$H$29</f>
        <v>19.612000000000002</v>
      </c>
      <c r="G14" s="88">
        <f>'Peajes Actuales'!$I$29</f>
        <v>0.11599999999999999</v>
      </c>
      <c r="H14" s="123">
        <f t="shared" si="3"/>
        <v>7585.6244963738936</v>
      </c>
      <c r="I14" s="123">
        <f t="shared" si="4"/>
        <v>1160</v>
      </c>
      <c r="J14" s="122">
        <f t="shared" si="5"/>
        <v>8745.6244963738936</v>
      </c>
      <c r="K14" s="89">
        <f>'Peajes Actuales'!$I$5</f>
        <v>10.848000000000001</v>
      </c>
      <c r="L14" s="122">
        <f t="shared" si="6"/>
        <v>4195.8420628525391</v>
      </c>
      <c r="M14" s="90">
        <f>VLOOKUP(E14,'Peajes Actuales'!$B$15:$J$15,7,FALSE)</f>
        <v>59.258000000000003</v>
      </c>
      <c r="N14" s="90">
        <f>VLOOKUP(E14,'Peajes Actuales'!$B$15:$J$15,9,FALSE)</f>
        <v>2.0099999999999998</v>
      </c>
      <c r="O14" s="123">
        <f t="shared" si="7"/>
        <v>18909.079774375507</v>
      </c>
      <c r="P14" s="123">
        <f t="shared" si="8"/>
        <v>20099.999999999996</v>
      </c>
      <c r="Q14" s="122">
        <f t="shared" si="9"/>
        <v>39009.079774375503</v>
      </c>
      <c r="R14" s="124">
        <f t="shared" si="10"/>
        <v>51950.546333601931</v>
      </c>
      <c r="S14" s="79">
        <f t="shared" si="11"/>
        <v>5.1950546333601935</v>
      </c>
      <c r="U14" s="76" t="str">
        <f>IF(B14&gt;'Peajes Circular CNMC'!$C$23,'Peajes Circular CNMC'!$B$23,IF(B14&gt;'Peajes Circular CNMC'!$C$22,'Peajes Circular CNMC'!$B$22,IF(B14&gt;'Peajes Circular CNMC'!$C$21,'Peajes Circular CNMC'!$B$21,IF(B14&gt;'Peajes Circular CNMC'!$C$20,'Peajes Circular CNMC'!$B$20,IF(B14&gt;'Peajes Circular CNMC'!$C$19,'Peajes Circular CNMC'!$B$19,IF(B14&gt;'Peajes Circular CNMC'!$C$18,'Peajes Circular CNMC'!$B$18,IF(B14&gt;'Peajes Circular CNMC'!$C$17,'Peajes Circular CNMC'!$B$17,IF(B14&gt;'Peajes Circular CNMC'!$C$16,'Peajes Circular CNMC'!$B$16,IF(B14&gt;'Peajes Circular CNMC'!$C$15,'Peajes Circular CNMC'!$B$15,IF(B14&gt;'Peajes Circular CNMC'!$C$14,'Peajes Circular CNMC'!$B$14,'Peajes Circular CNMC'!$B$13))))))))))</f>
        <v>D.7</v>
      </c>
      <c r="V14" s="96">
        <f>'Peajes Circular CNMC'!$H$30</f>
        <v>29.867609999999999</v>
      </c>
      <c r="W14" s="88">
        <f>'Peajes Circular CNMC'!$I$30</f>
        <v>0.15190999999999999</v>
      </c>
      <c r="X14" s="123">
        <f t="shared" si="12"/>
        <v>11552.339081385979</v>
      </c>
      <c r="Y14" s="123">
        <f t="shared" si="13"/>
        <v>1519.1</v>
      </c>
      <c r="Z14" s="122">
        <f t="shared" si="14"/>
        <v>13071.439081385979</v>
      </c>
      <c r="AA14" s="88">
        <f>'Peajes Circular CNMC'!$H$35</f>
        <v>0.26106499999999999</v>
      </c>
      <c r="AB14" s="122">
        <f t="shared" si="15"/>
        <v>2610.65</v>
      </c>
      <c r="AC14" s="97">
        <f>'Peajes Circular CNMC'!$J$6</f>
        <v>20.326666666666664</v>
      </c>
      <c r="AD14" s="97">
        <f>'Peajes Circular CNMC'!$J$7</f>
        <v>2.2599999999999999E-2</v>
      </c>
      <c r="AE14" s="123">
        <f t="shared" si="16"/>
        <v>7862.0467365028189</v>
      </c>
      <c r="AF14" s="123">
        <f t="shared" si="17"/>
        <v>225.99999999999997</v>
      </c>
      <c r="AG14" s="122">
        <f t="shared" si="18"/>
        <v>8088.0467365028189</v>
      </c>
      <c r="AH14" s="97">
        <f>'Peajes Circular CNMC'!$K$6</f>
        <v>12.351666666666667</v>
      </c>
      <c r="AI14" s="97">
        <f>'Peajes Circular CNMC'!$K$7</f>
        <v>2.2599999999999999E-2</v>
      </c>
      <c r="AJ14" s="123">
        <f t="shared" si="19"/>
        <v>4777.4375503626106</v>
      </c>
      <c r="AK14" s="123">
        <f t="shared" si="20"/>
        <v>225.99999999999997</v>
      </c>
      <c r="AL14" s="122">
        <f t="shared" si="21"/>
        <v>5003.4375503626106</v>
      </c>
      <c r="AM14" s="98">
        <f>VLOOKUP(U14,'Peajes Circular CNMC'!$B$13:$J$23,7,FALSE)</f>
        <v>86.737500000000011</v>
      </c>
      <c r="AN14" s="87">
        <f>VLOOKUP(U14,'Peajes Circular CNMC'!$B$13:$J$23,8,FALSE)</f>
        <v>0</v>
      </c>
      <c r="AO14" s="87">
        <f>VLOOKUP(U14,'Peajes Circular CNMC'!$B$13:$J$23,9,FALSE)</f>
        <v>1.0900000000000001</v>
      </c>
      <c r="AP14" s="123">
        <f t="shared" si="22"/>
        <v>33548.75100725222</v>
      </c>
      <c r="AQ14" s="123">
        <f t="shared" si="23"/>
        <v>0</v>
      </c>
      <c r="AR14" s="123">
        <f t="shared" si="24"/>
        <v>10900</v>
      </c>
      <c r="AS14" s="122">
        <f t="shared" si="25"/>
        <v>44448.75100725222</v>
      </c>
      <c r="AT14" s="124">
        <f t="shared" si="26"/>
        <v>73222.324375503624</v>
      </c>
      <c r="AU14" s="79">
        <f t="shared" si="27"/>
        <v>7.3222324375503627</v>
      </c>
      <c r="AW14" s="75">
        <f t="shared" si="28"/>
        <v>0.49462615126062781</v>
      </c>
      <c r="AX14" s="100">
        <f t="shared" si="29"/>
        <v>0.92763374201081539</v>
      </c>
      <c r="AY14" s="100">
        <f t="shared" si="30"/>
        <v>0.2677096933237389</v>
      </c>
      <c r="AZ14" s="125">
        <f t="shared" si="0"/>
        <v>21271.778041901693</v>
      </c>
      <c r="BA14" s="100">
        <f t="shared" si="1"/>
        <v>0.40946206619857961</v>
      </c>
      <c r="BB14" s="192">
        <f t="shared" si="31"/>
        <v>2.1271778041901692</v>
      </c>
    </row>
    <row r="15" spans="2:54">
      <c r="B15" s="105">
        <v>12500</v>
      </c>
      <c r="C15" s="112">
        <f>IF($C$5&lt;&gt;"Memoria CNMC",$C$5,IF(B15&gt;'Tipología Clientes'!$C$16,'Tipología Clientes'!$L$16,IF(B15&gt;'Tipología Clientes'!$C$15,'Tipología Clientes'!$L$15,IF(B15&gt;'Tipología Clientes'!$C$14,'Tipología Clientes'!$L$14,IF(B15&gt;'Tipología Clientes'!$C$13,'Tipología Clientes'!$L$13,IF(B15&gt;'Tipología Clientes'!$C$12,'Tipología Clientes'!$L$12,IF(B15&gt;'Tipología Clientes'!$C$11,'Tipología Clientes'!$L$11,IF(B15&gt;'Tipología Clientes'!$C$10,'Tipología Clientes'!$L$10,IF(B15&gt;'Tipología Clientes'!$C$9,'Tipología Clientes'!$L$9,IF(B15&gt;'Tipología Clientes'!$C$8,'Tipología Clientes'!$L$8,IF(B15&gt;'Tipología Clientes'!$C$7,'Tipología Clientes'!$L$7,'Tipología Clientes'!$L$6)))))))))))</f>
        <v>0.85</v>
      </c>
      <c r="D15" s="113">
        <f t="shared" si="2"/>
        <v>40.290088638195009</v>
      </c>
      <c r="E15" s="76" t="str">
        <f>IF(B15&gt;'Peajes Actuales'!$C$15,'Peajes Actuales'!$B$15,IF(B15&gt;'Peajes Actuales'!$C$14,'Peajes Actuales'!$B$14,IF(B15&gt;'Peajes Actuales'!$C$13,'Peajes Actuales'!$B$13,IF(B15&gt;'Peajes Actuales'!$C$12,'Peajes Actuales'!$B$12,'Peajes Actuales'!$B$11))))</f>
        <v>3.5</v>
      </c>
      <c r="F15" s="88">
        <f>'Peajes Actuales'!$H$29</f>
        <v>19.612000000000002</v>
      </c>
      <c r="G15" s="88">
        <f>'Peajes Actuales'!$I$29</f>
        <v>0.11599999999999999</v>
      </c>
      <c r="H15" s="123">
        <f t="shared" si="3"/>
        <v>9482.030620467367</v>
      </c>
      <c r="I15" s="123">
        <f t="shared" si="4"/>
        <v>1450</v>
      </c>
      <c r="J15" s="122">
        <f t="shared" si="5"/>
        <v>10932.030620467367</v>
      </c>
      <c r="K15" s="89">
        <f>'Peajes Actuales'!$I$5</f>
        <v>10.848000000000001</v>
      </c>
      <c r="L15" s="122">
        <f t="shared" si="6"/>
        <v>5244.8025785656737</v>
      </c>
      <c r="M15" s="90">
        <f>VLOOKUP(E15,'Peajes Actuales'!$B$15:$J$15,7,FALSE)</f>
        <v>59.258000000000003</v>
      </c>
      <c r="N15" s="90">
        <f>VLOOKUP(E15,'Peajes Actuales'!$B$15:$J$15,9,FALSE)</f>
        <v>2.0099999999999998</v>
      </c>
      <c r="O15" s="123">
        <f t="shared" si="7"/>
        <v>23636.34971796938</v>
      </c>
      <c r="P15" s="123">
        <f t="shared" si="8"/>
        <v>25124.999999999996</v>
      </c>
      <c r="Q15" s="122">
        <f t="shared" si="9"/>
        <v>48761.34971796938</v>
      </c>
      <c r="R15" s="124">
        <f t="shared" si="10"/>
        <v>64938.182917002421</v>
      </c>
      <c r="S15" s="79">
        <f t="shared" si="11"/>
        <v>5.1950546333601935</v>
      </c>
      <c r="U15" s="76" t="str">
        <f>IF(B15&gt;'Peajes Circular CNMC'!$C$23,'Peajes Circular CNMC'!$B$23,IF(B15&gt;'Peajes Circular CNMC'!$C$22,'Peajes Circular CNMC'!$B$22,IF(B15&gt;'Peajes Circular CNMC'!$C$21,'Peajes Circular CNMC'!$B$21,IF(B15&gt;'Peajes Circular CNMC'!$C$20,'Peajes Circular CNMC'!$B$20,IF(B15&gt;'Peajes Circular CNMC'!$C$19,'Peajes Circular CNMC'!$B$19,IF(B15&gt;'Peajes Circular CNMC'!$C$18,'Peajes Circular CNMC'!$B$18,IF(B15&gt;'Peajes Circular CNMC'!$C$17,'Peajes Circular CNMC'!$B$17,IF(B15&gt;'Peajes Circular CNMC'!$C$16,'Peajes Circular CNMC'!$B$16,IF(B15&gt;'Peajes Circular CNMC'!$C$15,'Peajes Circular CNMC'!$B$15,IF(B15&gt;'Peajes Circular CNMC'!$C$14,'Peajes Circular CNMC'!$B$14,'Peajes Circular CNMC'!$B$13))))))))))</f>
        <v>D.7</v>
      </c>
      <c r="V15" s="96">
        <f>'Peajes Circular CNMC'!$H$30</f>
        <v>29.867609999999999</v>
      </c>
      <c r="W15" s="88">
        <f>'Peajes Circular CNMC'!$I$30</f>
        <v>0.15190999999999999</v>
      </c>
      <c r="X15" s="123">
        <f t="shared" si="12"/>
        <v>14440.423851732476</v>
      </c>
      <c r="Y15" s="123">
        <f t="shared" si="13"/>
        <v>1898.8749999999998</v>
      </c>
      <c r="Z15" s="122">
        <f t="shared" si="14"/>
        <v>16339.298851732476</v>
      </c>
      <c r="AA15" s="88">
        <f>'Peajes Circular CNMC'!$H$35</f>
        <v>0.26106499999999999</v>
      </c>
      <c r="AB15" s="122">
        <f t="shared" si="15"/>
        <v>3263.3125</v>
      </c>
      <c r="AC15" s="97">
        <f>'Peajes Circular CNMC'!$J$6</f>
        <v>20.326666666666664</v>
      </c>
      <c r="AD15" s="97">
        <f>'Peajes Circular CNMC'!$J$7</f>
        <v>2.2599999999999999E-2</v>
      </c>
      <c r="AE15" s="123">
        <f t="shared" si="16"/>
        <v>9827.5584206285257</v>
      </c>
      <c r="AF15" s="123">
        <f t="shared" si="17"/>
        <v>282.5</v>
      </c>
      <c r="AG15" s="122">
        <f t="shared" si="18"/>
        <v>10110.058420628526</v>
      </c>
      <c r="AH15" s="97">
        <f>'Peajes Circular CNMC'!$K$6</f>
        <v>12.351666666666667</v>
      </c>
      <c r="AI15" s="97">
        <f>'Peajes Circular CNMC'!$K$7</f>
        <v>2.2599999999999999E-2</v>
      </c>
      <c r="AJ15" s="123">
        <f t="shared" si="19"/>
        <v>5971.7969379532642</v>
      </c>
      <c r="AK15" s="123">
        <f t="shared" si="20"/>
        <v>282.5</v>
      </c>
      <c r="AL15" s="122">
        <f t="shared" si="21"/>
        <v>6254.2969379532642</v>
      </c>
      <c r="AM15" s="98">
        <f>VLOOKUP(U15,'Peajes Circular CNMC'!$B$13:$J$23,7,FALSE)</f>
        <v>86.737500000000011</v>
      </c>
      <c r="AN15" s="87">
        <f>VLOOKUP(U15,'Peajes Circular CNMC'!$B$13:$J$23,8,FALSE)</f>
        <v>0</v>
      </c>
      <c r="AO15" s="87">
        <f>VLOOKUP(U15,'Peajes Circular CNMC'!$B$13:$J$23,9,FALSE)</f>
        <v>1.0900000000000001</v>
      </c>
      <c r="AP15" s="123">
        <f t="shared" si="22"/>
        <v>41935.938759065277</v>
      </c>
      <c r="AQ15" s="123">
        <f t="shared" si="23"/>
        <v>0</v>
      </c>
      <c r="AR15" s="123">
        <f t="shared" si="24"/>
        <v>13625.000000000002</v>
      </c>
      <c r="AS15" s="122">
        <f t="shared" si="25"/>
        <v>55560.938759065277</v>
      </c>
      <c r="AT15" s="124">
        <f t="shared" si="26"/>
        <v>91527.905469379548</v>
      </c>
      <c r="AU15" s="79">
        <f t="shared" si="27"/>
        <v>7.3222324375503636</v>
      </c>
      <c r="AW15" s="75">
        <f t="shared" si="28"/>
        <v>0.49462615126062798</v>
      </c>
      <c r="AX15" s="100">
        <f t="shared" si="29"/>
        <v>0.92763374201081583</v>
      </c>
      <c r="AY15" s="100">
        <f t="shared" si="30"/>
        <v>0.26770969332373884</v>
      </c>
      <c r="AZ15" s="125">
        <f t="shared" si="0"/>
        <v>26589.722552377127</v>
      </c>
      <c r="BA15" s="100">
        <f t="shared" si="1"/>
        <v>0.40946206619857978</v>
      </c>
      <c r="BB15" s="192">
        <f t="shared" si="31"/>
        <v>2.1271778041901701</v>
      </c>
    </row>
    <row r="16" spans="2:54">
      <c r="B16" s="105">
        <v>15000</v>
      </c>
      <c r="C16" s="112">
        <f>IF($C$5&lt;&gt;"Memoria CNMC",$C$5,IF(B16&gt;'Tipología Clientes'!$C$16,'Tipología Clientes'!$L$16,IF(B16&gt;'Tipología Clientes'!$C$15,'Tipología Clientes'!$L$15,IF(B16&gt;'Tipología Clientes'!$C$14,'Tipología Clientes'!$L$14,IF(B16&gt;'Tipología Clientes'!$C$13,'Tipología Clientes'!$L$13,IF(B16&gt;'Tipología Clientes'!$C$12,'Tipología Clientes'!$L$12,IF(B16&gt;'Tipología Clientes'!$C$11,'Tipología Clientes'!$L$11,IF(B16&gt;'Tipología Clientes'!$C$10,'Tipología Clientes'!$L$10,IF(B16&gt;'Tipología Clientes'!$C$9,'Tipología Clientes'!$L$9,IF(B16&gt;'Tipología Clientes'!$C$8,'Tipología Clientes'!$L$8,IF(B16&gt;'Tipología Clientes'!$C$7,'Tipología Clientes'!$L$7,'Tipología Clientes'!$L$6)))))))))))</f>
        <v>0.85</v>
      </c>
      <c r="D16" s="113">
        <f t="shared" si="2"/>
        <v>48.348106365834006</v>
      </c>
      <c r="E16" s="76" t="str">
        <f>IF(B16&gt;'Peajes Actuales'!$C$15,'Peajes Actuales'!$B$15,IF(B16&gt;'Peajes Actuales'!$C$14,'Peajes Actuales'!$B$14,IF(B16&gt;'Peajes Actuales'!$C$13,'Peajes Actuales'!$B$13,IF(B16&gt;'Peajes Actuales'!$C$12,'Peajes Actuales'!$B$12,'Peajes Actuales'!$B$11))))</f>
        <v>3.5</v>
      </c>
      <c r="F16" s="88">
        <f>'Peajes Actuales'!$H$29</f>
        <v>19.612000000000002</v>
      </c>
      <c r="G16" s="88">
        <f>'Peajes Actuales'!$I$29</f>
        <v>0.11599999999999999</v>
      </c>
      <c r="H16" s="123">
        <f t="shared" si="3"/>
        <v>11378.436744560839</v>
      </c>
      <c r="I16" s="123">
        <f t="shared" si="4"/>
        <v>1739.9999999999998</v>
      </c>
      <c r="J16" s="122">
        <f t="shared" si="5"/>
        <v>13118.436744560839</v>
      </c>
      <c r="K16" s="89">
        <f>'Peajes Actuales'!$I$5</f>
        <v>10.848000000000001</v>
      </c>
      <c r="L16" s="122">
        <f t="shared" si="6"/>
        <v>6293.7630942788082</v>
      </c>
      <c r="M16" s="90">
        <f>VLOOKUP(E16,'Peajes Actuales'!$B$15:$J$15,7,FALSE)</f>
        <v>59.258000000000003</v>
      </c>
      <c r="N16" s="90">
        <f>VLOOKUP(E16,'Peajes Actuales'!$B$15:$J$15,9,FALSE)</f>
        <v>2.0099999999999998</v>
      </c>
      <c r="O16" s="123">
        <f t="shared" si="7"/>
        <v>28363.619661563258</v>
      </c>
      <c r="P16" s="123">
        <f t="shared" si="8"/>
        <v>30149.999999999996</v>
      </c>
      <c r="Q16" s="122">
        <f t="shared" si="9"/>
        <v>58513.619661563251</v>
      </c>
      <c r="R16" s="124">
        <f t="shared" si="10"/>
        <v>77925.819500402897</v>
      </c>
      <c r="S16" s="79">
        <f t="shared" si="11"/>
        <v>5.1950546333601935</v>
      </c>
      <c r="U16" s="76" t="str">
        <f>IF(B16&gt;'Peajes Circular CNMC'!$C$23,'Peajes Circular CNMC'!$B$23,IF(B16&gt;'Peajes Circular CNMC'!$C$22,'Peajes Circular CNMC'!$B$22,IF(B16&gt;'Peajes Circular CNMC'!$C$21,'Peajes Circular CNMC'!$B$21,IF(B16&gt;'Peajes Circular CNMC'!$C$20,'Peajes Circular CNMC'!$B$20,IF(B16&gt;'Peajes Circular CNMC'!$C$19,'Peajes Circular CNMC'!$B$19,IF(B16&gt;'Peajes Circular CNMC'!$C$18,'Peajes Circular CNMC'!$B$18,IF(B16&gt;'Peajes Circular CNMC'!$C$17,'Peajes Circular CNMC'!$B$17,IF(B16&gt;'Peajes Circular CNMC'!$C$16,'Peajes Circular CNMC'!$B$16,IF(B16&gt;'Peajes Circular CNMC'!$C$15,'Peajes Circular CNMC'!$B$15,IF(B16&gt;'Peajes Circular CNMC'!$C$14,'Peajes Circular CNMC'!$B$14,'Peajes Circular CNMC'!$B$13))))))))))</f>
        <v>D.7</v>
      </c>
      <c r="V16" s="96">
        <f>'Peajes Circular CNMC'!$H$30</f>
        <v>29.867609999999999</v>
      </c>
      <c r="W16" s="88">
        <f>'Peajes Circular CNMC'!$I$30</f>
        <v>0.15190999999999999</v>
      </c>
      <c r="X16" s="123">
        <f t="shared" si="12"/>
        <v>17328.508622078967</v>
      </c>
      <c r="Y16" s="123">
        <f t="shared" si="13"/>
        <v>2278.6499999999996</v>
      </c>
      <c r="Z16" s="122">
        <f t="shared" si="14"/>
        <v>19607.158622078969</v>
      </c>
      <c r="AA16" s="88">
        <f>'Peajes Circular CNMC'!$H$35</f>
        <v>0.26106499999999999</v>
      </c>
      <c r="AB16" s="122">
        <f t="shared" si="15"/>
        <v>3915.9749999999999</v>
      </c>
      <c r="AC16" s="97">
        <f>'Peajes Circular CNMC'!$J$6</f>
        <v>20.326666666666664</v>
      </c>
      <c r="AD16" s="97">
        <f>'Peajes Circular CNMC'!$J$7</f>
        <v>2.2599999999999999E-2</v>
      </c>
      <c r="AE16" s="123">
        <f t="shared" si="16"/>
        <v>11793.070104754228</v>
      </c>
      <c r="AF16" s="123">
        <f t="shared" si="17"/>
        <v>339</v>
      </c>
      <c r="AG16" s="122">
        <f t="shared" si="18"/>
        <v>12132.070104754228</v>
      </c>
      <c r="AH16" s="97">
        <f>'Peajes Circular CNMC'!$K$6</f>
        <v>12.351666666666667</v>
      </c>
      <c r="AI16" s="97">
        <f>'Peajes Circular CNMC'!$K$7</f>
        <v>2.2599999999999999E-2</v>
      </c>
      <c r="AJ16" s="123">
        <f t="shared" si="19"/>
        <v>7166.156325543916</v>
      </c>
      <c r="AK16" s="123">
        <f t="shared" si="20"/>
        <v>339</v>
      </c>
      <c r="AL16" s="122">
        <f t="shared" si="21"/>
        <v>7505.156325543916</v>
      </c>
      <c r="AM16" s="98">
        <f>VLOOKUP(U16,'Peajes Circular CNMC'!$B$13:$J$23,7,FALSE)</f>
        <v>86.737500000000011</v>
      </c>
      <c r="AN16" s="87">
        <f>VLOOKUP(U16,'Peajes Circular CNMC'!$B$13:$J$23,8,FALSE)</f>
        <v>0</v>
      </c>
      <c r="AO16" s="87">
        <f>VLOOKUP(U16,'Peajes Circular CNMC'!$B$13:$J$23,9,FALSE)</f>
        <v>1.0900000000000001</v>
      </c>
      <c r="AP16" s="123">
        <f t="shared" si="22"/>
        <v>50323.126510878334</v>
      </c>
      <c r="AQ16" s="123">
        <f t="shared" si="23"/>
        <v>0</v>
      </c>
      <c r="AR16" s="123">
        <f t="shared" si="24"/>
        <v>16350.000000000002</v>
      </c>
      <c r="AS16" s="122">
        <f t="shared" si="25"/>
        <v>66673.126510878341</v>
      </c>
      <c r="AT16" s="124">
        <f t="shared" si="26"/>
        <v>109833.48656325546</v>
      </c>
      <c r="AU16" s="79">
        <f t="shared" si="27"/>
        <v>7.3222324375503636</v>
      </c>
      <c r="AW16" s="75">
        <f t="shared" si="28"/>
        <v>0.49462615126062803</v>
      </c>
      <c r="AX16" s="100">
        <f t="shared" si="29"/>
        <v>0.9276337420108155</v>
      </c>
      <c r="AY16" s="100">
        <f t="shared" si="30"/>
        <v>0.26770969332373895</v>
      </c>
      <c r="AZ16" s="125">
        <f t="shared" si="0"/>
        <v>31907.667062852561</v>
      </c>
      <c r="BA16" s="100">
        <f t="shared" si="1"/>
        <v>0.40946206619857994</v>
      </c>
      <c r="BB16" s="192">
        <f t="shared" si="31"/>
        <v>2.1271778041901701</v>
      </c>
    </row>
    <row r="17" spans="2:54">
      <c r="B17" s="105">
        <v>17500</v>
      </c>
      <c r="C17" s="112">
        <f>IF($C$5&lt;&gt;"Memoria CNMC",$C$5,IF(B17&gt;'Tipología Clientes'!$C$16,'Tipología Clientes'!$L$16,IF(B17&gt;'Tipología Clientes'!$C$15,'Tipología Clientes'!$L$15,IF(B17&gt;'Tipología Clientes'!$C$14,'Tipología Clientes'!$L$14,IF(B17&gt;'Tipología Clientes'!$C$13,'Tipología Clientes'!$L$13,IF(B17&gt;'Tipología Clientes'!$C$12,'Tipología Clientes'!$L$12,IF(B17&gt;'Tipología Clientes'!$C$11,'Tipología Clientes'!$L$11,IF(B17&gt;'Tipología Clientes'!$C$10,'Tipología Clientes'!$L$10,IF(B17&gt;'Tipología Clientes'!$C$9,'Tipología Clientes'!$L$9,IF(B17&gt;'Tipología Clientes'!$C$8,'Tipología Clientes'!$L$8,IF(B17&gt;'Tipología Clientes'!$C$7,'Tipología Clientes'!$L$7,'Tipología Clientes'!$L$6)))))))))))</f>
        <v>0.85</v>
      </c>
      <c r="D17" s="113">
        <f t="shared" si="2"/>
        <v>56.406124093473011</v>
      </c>
      <c r="E17" s="76" t="str">
        <f>IF(B17&gt;'Peajes Actuales'!$C$15,'Peajes Actuales'!$B$15,IF(B17&gt;'Peajes Actuales'!$C$14,'Peajes Actuales'!$B$14,IF(B17&gt;'Peajes Actuales'!$C$13,'Peajes Actuales'!$B$13,IF(B17&gt;'Peajes Actuales'!$C$12,'Peajes Actuales'!$B$12,'Peajes Actuales'!$B$11))))</f>
        <v>3.5</v>
      </c>
      <c r="F17" s="88">
        <f>'Peajes Actuales'!$H$29</f>
        <v>19.612000000000002</v>
      </c>
      <c r="G17" s="88">
        <f>'Peajes Actuales'!$I$29</f>
        <v>0.11599999999999999</v>
      </c>
      <c r="H17" s="123">
        <f t="shared" si="3"/>
        <v>13274.842868654316</v>
      </c>
      <c r="I17" s="123">
        <f t="shared" si="4"/>
        <v>2029.9999999999998</v>
      </c>
      <c r="J17" s="122">
        <f t="shared" si="5"/>
        <v>15304.842868654316</v>
      </c>
      <c r="K17" s="89">
        <f>'Peajes Actuales'!$I$5</f>
        <v>10.848000000000001</v>
      </c>
      <c r="L17" s="122">
        <f t="shared" si="6"/>
        <v>7342.7236099919437</v>
      </c>
      <c r="M17" s="90">
        <f>VLOOKUP(E17,'Peajes Actuales'!$B$15:$J$15,7,FALSE)</f>
        <v>59.258000000000003</v>
      </c>
      <c r="N17" s="90">
        <f>VLOOKUP(E17,'Peajes Actuales'!$B$15:$J$15,9,FALSE)</f>
        <v>2.0099999999999998</v>
      </c>
      <c r="O17" s="123">
        <f t="shared" si="7"/>
        <v>33090.889605157136</v>
      </c>
      <c r="P17" s="123">
        <f t="shared" si="8"/>
        <v>35174.999999999993</v>
      </c>
      <c r="Q17" s="122">
        <f t="shared" si="9"/>
        <v>68265.889605157136</v>
      </c>
      <c r="R17" s="124">
        <f t="shared" si="10"/>
        <v>90913.456083803394</v>
      </c>
      <c r="S17" s="79">
        <f t="shared" si="11"/>
        <v>5.1950546333601944</v>
      </c>
      <c r="U17" s="76" t="str">
        <f>IF(B17&gt;'Peajes Circular CNMC'!$C$23,'Peajes Circular CNMC'!$B$23,IF(B17&gt;'Peajes Circular CNMC'!$C$22,'Peajes Circular CNMC'!$B$22,IF(B17&gt;'Peajes Circular CNMC'!$C$21,'Peajes Circular CNMC'!$B$21,IF(B17&gt;'Peajes Circular CNMC'!$C$20,'Peajes Circular CNMC'!$B$20,IF(B17&gt;'Peajes Circular CNMC'!$C$19,'Peajes Circular CNMC'!$B$19,IF(B17&gt;'Peajes Circular CNMC'!$C$18,'Peajes Circular CNMC'!$B$18,IF(B17&gt;'Peajes Circular CNMC'!$C$17,'Peajes Circular CNMC'!$B$17,IF(B17&gt;'Peajes Circular CNMC'!$C$16,'Peajes Circular CNMC'!$B$16,IF(B17&gt;'Peajes Circular CNMC'!$C$15,'Peajes Circular CNMC'!$B$15,IF(B17&gt;'Peajes Circular CNMC'!$C$14,'Peajes Circular CNMC'!$B$14,'Peajes Circular CNMC'!$B$13))))))))))</f>
        <v>D.8</v>
      </c>
      <c r="V17" s="96">
        <f>'Peajes Circular CNMC'!$H$30</f>
        <v>29.867609999999999</v>
      </c>
      <c r="W17" s="88">
        <f>'Peajes Circular CNMC'!$I$30</f>
        <v>0.15190999999999999</v>
      </c>
      <c r="X17" s="123">
        <f t="shared" si="12"/>
        <v>20216.593392425464</v>
      </c>
      <c r="Y17" s="123">
        <f t="shared" si="13"/>
        <v>2658.4249999999997</v>
      </c>
      <c r="Z17" s="122">
        <f t="shared" si="14"/>
        <v>22875.018392425463</v>
      </c>
      <c r="AA17" s="88">
        <f>'Peajes Circular CNMC'!$H$35</f>
        <v>0.26106499999999999</v>
      </c>
      <c r="AB17" s="122">
        <f t="shared" si="15"/>
        <v>4568.6374999999998</v>
      </c>
      <c r="AC17" s="97">
        <f>'Peajes Circular CNMC'!$J$6</f>
        <v>20.326666666666664</v>
      </c>
      <c r="AD17" s="97">
        <f>'Peajes Circular CNMC'!$J$7</f>
        <v>2.2599999999999999E-2</v>
      </c>
      <c r="AE17" s="123">
        <f t="shared" si="16"/>
        <v>13758.581788879934</v>
      </c>
      <c r="AF17" s="123">
        <f t="shared" si="17"/>
        <v>395.5</v>
      </c>
      <c r="AG17" s="122">
        <f t="shared" si="18"/>
        <v>14154.081788879934</v>
      </c>
      <c r="AH17" s="97">
        <f>'Peajes Circular CNMC'!$K$6</f>
        <v>12.351666666666667</v>
      </c>
      <c r="AI17" s="97">
        <f>'Peajes Circular CNMC'!$K$7</f>
        <v>2.2599999999999999E-2</v>
      </c>
      <c r="AJ17" s="123">
        <f t="shared" si="19"/>
        <v>8360.5157131345695</v>
      </c>
      <c r="AK17" s="123">
        <f t="shared" si="20"/>
        <v>395.5</v>
      </c>
      <c r="AL17" s="122">
        <f t="shared" si="21"/>
        <v>8756.0157131345695</v>
      </c>
      <c r="AM17" s="98">
        <f>VLOOKUP(U17,'Peajes Circular CNMC'!$B$13:$J$23,7,FALSE)</f>
        <v>42.213333333333331</v>
      </c>
      <c r="AN17" s="87">
        <f>VLOOKUP(U17,'Peajes Circular CNMC'!$B$13:$J$23,8,FALSE)</f>
        <v>0</v>
      </c>
      <c r="AO17" s="87">
        <f>VLOOKUP(U17,'Peajes Circular CNMC'!$B$13:$J$23,9,FALSE)</f>
        <v>0.70599999999999996</v>
      </c>
      <c r="AP17" s="123">
        <f t="shared" si="22"/>
        <v>28573.086220789686</v>
      </c>
      <c r="AQ17" s="123">
        <f t="shared" si="23"/>
        <v>0</v>
      </c>
      <c r="AR17" s="123">
        <f t="shared" si="24"/>
        <v>12355</v>
      </c>
      <c r="AS17" s="122">
        <f t="shared" si="25"/>
        <v>40928.086220789686</v>
      </c>
      <c r="AT17" s="124">
        <f t="shared" si="26"/>
        <v>91281.839615229663</v>
      </c>
      <c r="AU17" s="79">
        <f t="shared" si="27"/>
        <v>5.2161051208702665</v>
      </c>
      <c r="AW17" s="75">
        <f t="shared" si="28"/>
        <v>0.49462615126062764</v>
      </c>
      <c r="AX17" s="100">
        <f t="shared" si="29"/>
        <v>0.92763374201081539</v>
      </c>
      <c r="AY17" s="100">
        <f t="shared" si="30"/>
        <v>-0.27219725369006431</v>
      </c>
      <c r="AZ17" s="125">
        <f t="shared" si="0"/>
        <v>368.38353142626875</v>
      </c>
      <c r="BA17" s="100">
        <f t="shared" si="1"/>
        <v>4.0520242799558228E-3</v>
      </c>
      <c r="BB17" s="192">
        <f t="shared" si="31"/>
        <v>2.1050487510072102E-2</v>
      </c>
    </row>
    <row r="18" spans="2:54">
      <c r="B18" s="105">
        <v>20000</v>
      </c>
      <c r="C18" s="112">
        <f>IF($C$5&lt;&gt;"Memoria CNMC",$C$5,IF(B18&gt;'Tipología Clientes'!$C$16,'Tipología Clientes'!$L$16,IF(B18&gt;'Tipología Clientes'!$C$15,'Tipología Clientes'!$L$15,IF(B18&gt;'Tipología Clientes'!$C$14,'Tipología Clientes'!$L$14,IF(B18&gt;'Tipología Clientes'!$C$13,'Tipología Clientes'!$L$13,IF(B18&gt;'Tipología Clientes'!$C$12,'Tipología Clientes'!$L$12,IF(B18&gt;'Tipología Clientes'!$C$11,'Tipología Clientes'!$L$11,IF(B18&gt;'Tipología Clientes'!$C$10,'Tipología Clientes'!$L$10,IF(B18&gt;'Tipología Clientes'!$C$9,'Tipología Clientes'!$L$9,IF(B18&gt;'Tipología Clientes'!$C$8,'Tipología Clientes'!$L$8,IF(B18&gt;'Tipología Clientes'!$C$7,'Tipología Clientes'!$L$7,'Tipología Clientes'!$L$6)))))))))))</f>
        <v>0.85</v>
      </c>
      <c r="D18" s="113">
        <f t="shared" si="2"/>
        <v>64.464141821112008</v>
      </c>
      <c r="E18" s="76" t="str">
        <f>IF(B18&gt;'Peajes Actuales'!$C$15,'Peajes Actuales'!$B$15,IF(B18&gt;'Peajes Actuales'!$C$14,'Peajes Actuales'!$B$14,IF(B18&gt;'Peajes Actuales'!$C$13,'Peajes Actuales'!$B$13,IF(B18&gt;'Peajes Actuales'!$C$12,'Peajes Actuales'!$B$12,'Peajes Actuales'!$B$11))))</f>
        <v>3.5</v>
      </c>
      <c r="F18" s="88">
        <f>'Peajes Actuales'!$H$29</f>
        <v>19.612000000000002</v>
      </c>
      <c r="G18" s="88">
        <f>'Peajes Actuales'!$I$29</f>
        <v>0.11599999999999999</v>
      </c>
      <c r="H18" s="123">
        <f t="shared" si="3"/>
        <v>15171.248992747787</v>
      </c>
      <c r="I18" s="123">
        <f t="shared" si="4"/>
        <v>2320</v>
      </c>
      <c r="J18" s="122">
        <f t="shared" si="5"/>
        <v>17491.248992747787</v>
      </c>
      <c r="K18" s="89">
        <f>'Peajes Actuales'!$I$5</f>
        <v>10.848000000000001</v>
      </c>
      <c r="L18" s="122">
        <f t="shared" si="6"/>
        <v>8391.6841257050783</v>
      </c>
      <c r="M18" s="90">
        <f>VLOOKUP(E18,'Peajes Actuales'!$B$15:$J$15,7,FALSE)</f>
        <v>59.258000000000003</v>
      </c>
      <c r="N18" s="90">
        <f>VLOOKUP(E18,'Peajes Actuales'!$B$15:$J$15,9,FALSE)</f>
        <v>2.0099999999999998</v>
      </c>
      <c r="O18" s="123">
        <f t="shared" si="7"/>
        <v>37818.159548751013</v>
      </c>
      <c r="P18" s="123">
        <f t="shared" si="8"/>
        <v>40199.999999999993</v>
      </c>
      <c r="Q18" s="122">
        <f t="shared" si="9"/>
        <v>78018.159548751006</v>
      </c>
      <c r="R18" s="124">
        <f t="shared" si="10"/>
        <v>103901.09266720386</v>
      </c>
      <c r="S18" s="79">
        <f t="shared" si="11"/>
        <v>5.1950546333601935</v>
      </c>
      <c r="U18" s="76" t="str">
        <f>IF(B18&gt;'Peajes Circular CNMC'!$C$23,'Peajes Circular CNMC'!$B$23,IF(B18&gt;'Peajes Circular CNMC'!$C$22,'Peajes Circular CNMC'!$B$22,IF(B18&gt;'Peajes Circular CNMC'!$C$21,'Peajes Circular CNMC'!$B$21,IF(B18&gt;'Peajes Circular CNMC'!$C$20,'Peajes Circular CNMC'!$B$20,IF(B18&gt;'Peajes Circular CNMC'!$C$19,'Peajes Circular CNMC'!$B$19,IF(B18&gt;'Peajes Circular CNMC'!$C$18,'Peajes Circular CNMC'!$B$18,IF(B18&gt;'Peajes Circular CNMC'!$C$17,'Peajes Circular CNMC'!$B$17,IF(B18&gt;'Peajes Circular CNMC'!$C$16,'Peajes Circular CNMC'!$B$16,IF(B18&gt;'Peajes Circular CNMC'!$C$15,'Peajes Circular CNMC'!$B$15,IF(B18&gt;'Peajes Circular CNMC'!$C$14,'Peajes Circular CNMC'!$B$14,'Peajes Circular CNMC'!$B$13))))))))))</f>
        <v>D.8</v>
      </c>
      <c r="V18" s="96">
        <f>'Peajes Circular CNMC'!$H$30</f>
        <v>29.867609999999999</v>
      </c>
      <c r="W18" s="88">
        <f>'Peajes Circular CNMC'!$I$30</f>
        <v>0.15190999999999999</v>
      </c>
      <c r="X18" s="123">
        <f t="shared" si="12"/>
        <v>23104.678162771957</v>
      </c>
      <c r="Y18" s="123">
        <f t="shared" si="13"/>
        <v>3038.2</v>
      </c>
      <c r="Z18" s="122">
        <f t="shared" si="14"/>
        <v>26142.878162771958</v>
      </c>
      <c r="AA18" s="88">
        <f>'Peajes Circular CNMC'!$H$35</f>
        <v>0.26106499999999999</v>
      </c>
      <c r="AB18" s="122">
        <f t="shared" si="15"/>
        <v>5221.3</v>
      </c>
      <c r="AC18" s="97">
        <f>'Peajes Circular CNMC'!$J$6</f>
        <v>20.326666666666664</v>
      </c>
      <c r="AD18" s="97">
        <f>'Peajes Circular CNMC'!$J$7</f>
        <v>2.2599999999999999E-2</v>
      </c>
      <c r="AE18" s="123">
        <f t="shared" si="16"/>
        <v>15724.093473005638</v>
      </c>
      <c r="AF18" s="123">
        <f t="shared" si="17"/>
        <v>451.99999999999994</v>
      </c>
      <c r="AG18" s="122">
        <f t="shared" si="18"/>
        <v>16176.093473005638</v>
      </c>
      <c r="AH18" s="97">
        <f>'Peajes Circular CNMC'!$K$6</f>
        <v>12.351666666666667</v>
      </c>
      <c r="AI18" s="97">
        <f>'Peajes Circular CNMC'!$K$7</f>
        <v>2.2599999999999999E-2</v>
      </c>
      <c r="AJ18" s="123">
        <f t="shared" si="19"/>
        <v>9554.8751007252213</v>
      </c>
      <c r="AK18" s="123">
        <f t="shared" si="20"/>
        <v>451.99999999999994</v>
      </c>
      <c r="AL18" s="122">
        <f t="shared" si="21"/>
        <v>10006.875100725221</v>
      </c>
      <c r="AM18" s="98">
        <f>VLOOKUP(U18,'Peajes Circular CNMC'!$B$13:$J$23,7,FALSE)</f>
        <v>42.213333333333331</v>
      </c>
      <c r="AN18" s="87">
        <f>VLOOKUP(U18,'Peajes Circular CNMC'!$B$13:$J$23,8,FALSE)</f>
        <v>0</v>
      </c>
      <c r="AO18" s="87">
        <f>VLOOKUP(U18,'Peajes Circular CNMC'!$B$13:$J$23,9,FALSE)</f>
        <v>0.70599999999999996</v>
      </c>
      <c r="AP18" s="123">
        <f t="shared" si="22"/>
        <v>32654.955680902494</v>
      </c>
      <c r="AQ18" s="123">
        <f t="shared" si="23"/>
        <v>0</v>
      </c>
      <c r="AR18" s="123">
        <f t="shared" si="24"/>
        <v>14120</v>
      </c>
      <c r="AS18" s="122">
        <f t="shared" si="25"/>
        <v>46774.955680902494</v>
      </c>
      <c r="AT18" s="124">
        <f>Z18+AB18+AG18+AL18+AS18</f>
        <v>104322.10241740532</v>
      </c>
      <c r="AU18" s="79">
        <f t="shared" si="27"/>
        <v>5.2161051208702656</v>
      </c>
      <c r="AW18" s="75">
        <f t="shared" si="28"/>
        <v>0.49462615126062781</v>
      </c>
      <c r="AX18" s="100">
        <f t="shared" si="29"/>
        <v>0.92763374201081539</v>
      </c>
      <c r="AY18" s="100">
        <f t="shared" si="30"/>
        <v>-0.27219725369006431</v>
      </c>
      <c r="AZ18" s="125">
        <f t="shared" si="0"/>
        <v>421.00975020145415</v>
      </c>
      <c r="BA18" s="100">
        <f t="shared" si="1"/>
        <v>4.0520242799558636E-3</v>
      </c>
      <c r="BB18" s="192">
        <f t="shared" si="31"/>
        <v>2.1050487510072102E-2</v>
      </c>
    </row>
    <row r="19" spans="2:54">
      <c r="B19" s="105">
        <v>22500</v>
      </c>
      <c r="C19" s="112">
        <f>IF($C$5&lt;&gt;"Memoria CNMC",$C$5,IF(B19&gt;'Tipología Clientes'!$C$16,'Tipología Clientes'!$L$16,IF(B19&gt;'Tipología Clientes'!$C$15,'Tipología Clientes'!$L$15,IF(B19&gt;'Tipología Clientes'!$C$14,'Tipología Clientes'!$L$14,IF(B19&gt;'Tipología Clientes'!$C$13,'Tipología Clientes'!$L$13,IF(B19&gt;'Tipología Clientes'!$C$12,'Tipología Clientes'!$L$12,IF(B19&gt;'Tipología Clientes'!$C$11,'Tipología Clientes'!$L$11,IF(B19&gt;'Tipología Clientes'!$C$10,'Tipología Clientes'!$L$10,IF(B19&gt;'Tipología Clientes'!$C$9,'Tipología Clientes'!$L$9,IF(B19&gt;'Tipología Clientes'!$C$8,'Tipología Clientes'!$L$8,IF(B19&gt;'Tipología Clientes'!$C$7,'Tipología Clientes'!$L$7,'Tipología Clientes'!$L$6)))))))))))</f>
        <v>0.85</v>
      </c>
      <c r="D19" s="113">
        <f t="shared" si="2"/>
        <v>72.522159548751006</v>
      </c>
      <c r="E19" s="76" t="str">
        <f>IF(B19&gt;'Peajes Actuales'!$C$15,'Peajes Actuales'!$B$15,IF(B19&gt;'Peajes Actuales'!$C$14,'Peajes Actuales'!$B$14,IF(B19&gt;'Peajes Actuales'!$C$13,'Peajes Actuales'!$B$13,IF(B19&gt;'Peajes Actuales'!$C$12,'Peajes Actuales'!$B$12,'Peajes Actuales'!$B$11))))</f>
        <v>3.5</v>
      </c>
      <c r="F19" s="88">
        <f>'Peajes Actuales'!$H$29</f>
        <v>19.612000000000002</v>
      </c>
      <c r="G19" s="88">
        <f>'Peajes Actuales'!$I$29</f>
        <v>0.11599999999999999</v>
      </c>
      <c r="H19" s="123">
        <f t="shared" si="3"/>
        <v>17067.655116841259</v>
      </c>
      <c r="I19" s="123">
        <f t="shared" si="4"/>
        <v>2610</v>
      </c>
      <c r="J19" s="122">
        <f t="shared" si="5"/>
        <v>19677.655116841259</v>
      </c>
      <c r="K19" s="89">
        <f>'Peajes Actuales'!$I$5</f>
        <v>10.848000000000001</v>
      </c>
      <c r="L19" s="122">
        <f t="shared" si="6"/>
        <v>9440.6446414182119</v>
      </c>
      <c r="M19" s="90">
        <f>VLOOKUP(E19,'Peajes Actuales'!$B$15:$J$15,7,FALSE)</f>
        <v>59.258000000000003</v>
      </c>
      <c r="N19" s="90">
        <f>VLOOKUP(E19,'Peajes Actuales'!$B$15:$J$15,9,FALSE)</f>
        <v>2.0099999999999998</v>
      </c>
      <c r="O19" s="123">
        <f t="shared" si="7"/>
        <v>42545.429492344891</v>
      </c>
      <c r="P19" s="123">
        <f t="shared" si="8"/>
        <v>45224.999999999993</v>
      </c>
      <c r="Q19" s="122">
        <f t="shared" si="9"/>
        <v>87770.429492344876</v>
      </c>
      <c r="R19" s="124">
        <f t="shared" si="10"/>
        <v>116888.72925060434</v>
      </c>
      <c r="S19" s="79">
        <f t="shared" si="11"/>
        <v>5.1950546333601935</v>
      </c>
      <c r="U19" s="76" t="str">
        <f>IF(B19&gt;'Peajes Circular CNMC'!$C$23,'Peajes Circular CNMC'!$B$23,IF(B19&gt;'Peajes Circular CNMC'!$C$22,'Peajes Circular CNMC'!$B$22,IF(B19&gt;'Peajes Circular CNMC'!$C$21,'Peajes Circular CNMC'!$B$21,IF(B19&gt;'Peajes Circular CNMC'!$C$20,'Peajes Circular CNMC'!$B$20,IF(B19&gt;'Peajes Circular CNMC'!$C$19,'Peajes Circular CNMC'!$B$19,IF(B19&gt;'Peajes Circular CNMC'!$C$18,'Peajes Circular CNMC'!$B$18,IF(B19&gt;'Peajes Circular CNMC'!$C$17,'Peajes Circular CNMC'!$B$17,IF(B19&gt;'Peajes Circular CNMC'!$C$16,'Peajes Circular CNMC'!$B$16,IF(B19&gt;'Peajes Circular CNMC'!$C$15,'Peajes Circular CNMC'!$B$15,IF(B19&gt;'Peajes Circular CNMC'!$C$14,'Peajes Circular CNMC'!$B$14,'Peajes Circular CNMC'!$B$13))))))))))</f>
        <v>D.8</v>
      </c>
      <c r="V19" s="96">
        <f>'Peajes Circular CNMC'!$H$30</f>
        <v>29.867609999999999</v>
      </c>
      <c r="W19" s="88">
        <f>'Peajes Circular CNMC'!$I$30</f>
        <v>0.15190999999999999</v>
      </c>
      <c r="X19" s="123">
        <f t="shared" si="12"/>
        <v>25992.762933118451</v>
      </c>
      <c r="Y19" s="123">
        <f t="shared" si="13"/>
        <v>3417.9749999999999</v>
      </c>
      <c r="Z19" s="122">
        <f t="shared" si="14"/>
        <v>29410.737933118449</v>
      </c>
      <c r="AA19" s="88">
        <f>'Peajes Circular CNMC'!$H$35</f>
        <v>0.26106499999999999</v>
      </c>
      <c r="AB19" s="122">
        <f t="shared" si="15"/>
        <v>5873.9624999999996</v>
      </c>
      <c r="AC19" s="97">
        <f>'Peajes Circular CNMC'!$J$6</f>
        <v>20.326666666666664</v>
      </c>
      <c r="AD19" s="97">
        <f>'Peajes Circular CNMC'!$J$7</f>
        <v>2.2599999999999999E-2</v>
      </c>
      <c r="AE19" s="123">
        <f t="shared" si="16"/>
        <v>17689.605157131344</v>
      </c>
      <c r="AF19" s="123">
        <f t="shared" si="17"/>
        <v>508.49999999999994</v>
      </c>
      <c r="AG19" s="122">
        <f t="shared" si="18"/>
        <v>18198.105157131344</v>
      </c>
      <c r="AH19" s="97">
        <f>'Peajes Circular CNMC'!$K$6</f>
        <v>12.351666666666667</v>
      </c>
      <c r="AI19" s="97">
        <f>'Peajes Circular CNMC'!$K$7</f>
        <v>2.2599999999999999E-2</v>
      </c>
      <c r="AJ19" s="123">
        <f t="shared" si="19"/>
        <v>10749.234488315875</v>
      </c>
      <c r="AK19" s="123">
        <f t="shared" si="20"/>
        <v>508.49999999999994</v>
      </c>
      <c r="AL19" s="122">
        <f t="shared" si="21"/>
        <v>11257.734488315875</v>
      </c>
      <c r="AM19" s="98">
        <f>VLOOKUP(U19,'Peajes Circular CNMC'!$B$13:$J$23,7,FALSE)</f>
        <v>42.213333333333331</v>
      </c>
      <c r="AN19" s="87">
        <f>VLOOKUP(U19,'Peajes Circular CNMC'!$B$13:$J$23,8,FALSE)</f>
        <v>0</v>
      </c>
      <c r="AO19" s="87">
        <f>VLOOKUP(U19,'Peajes Circular CNMC'!$B$13:$J$23,9,FALSE)</f>
        <v>0.70599999999999996</v>
      </c>
      <c r="AP19" s="123">
        <f t="shared" si="22"/>
        <v>36736.825141015303</v>
      </c>
      <c r="AQ19" s="123">
        <f t="shared" si="23"/>
        <v>0</v>
      </c>
      <c r="AR19" s="123">
        <f t="shared" si="24"/>
        <v>15885</v>
      </c>
      <c r="AS19" s="122">
        <f t="shared" si="25"/>
        <v>52621.825141015303</v>
      </c>
      <c r="AT19" s="124">
        <f t="shared" si="26"/>
        <v>117362.36521958097</v>
      </c>
      <c r="AU19" s="79">
        <f t="shared" si="27"/>
        <v>5.2161051208702656</v>
      </c>
      <c r="AW19" s="75">
        <f t="shared" si="28"/>
        <v>0.49462615126062776</v>
      </c>
      <c r="AX19" s="100">
        <f t="shared" si="29"/>
        <v>0.92763374201081572</v>
      </c>
      <c r="AY19" s="100">
        <f t="shared" si="30"/>
        <v>-0.27219725369006431</v>
      </c>
      <c r="AZ19" s="125">
        <f t="shared" si="0"/>
        <v>473.63596897662501</v>
      </c>
      <c r="BA19" s="100">
        <f t="shared" si="1"/>
        <v>4.0520242799557699E-3</v>
      </c>
      <c r="BB19" s="192">
        <f t="shared" si="31"/>
        <v>2.1050487510072102E-2</v>
      </c>
    </row>
    <row r="20" spans="2:54">
      <c r="B20" s="105">
        <v>25000</v>
      </c>
      <c r="C20" s="112">
        <f>IF($C$5&lt;&gt;"Memoria CNMC",$C$5,IF(B20&gt;'Tipología Clientes'!$C$16,'Tipología Clientes'!$L$16,IF(B20&gt;'Tipología Clientes'!$C$15,'Tipología Clientes'!$L$15,IF(B20&gt;'Tipología Clientes'!$C$14,'Tipología Clientes'!$L$14,IF(B20&gt;'Tipología Clientes'!$C$13,'Tipología Clientes'!$L$13,IF(B20&gt;'Tipología Clientes'!$C$12,'Tipología Clientes'!$L$12,IF(B20&gt;'Tipología Clientes'!$C$11,'Tipología Clientes'!$L$11,IF(B20&gt;'Tipología Clientes'!$C$10,'Tipología Clientes'!$L$10,IF(B20&gt;'Tipología Clientes'!$C$9,'Tipología Clientes'!$L$9,IF(B20&gt;'Tipología Clientes'!$C$8,'Tipología Clientes'!$L$8,IF(B20&gt;'Tipología Clientes'!$C$7,'Tipología Clientes'!$L$7,'Tipología Clientes'!$L$6)))))))))))</f>
        <v>0.85</v>
      </c>
      <c r="D20" s="113">
        <f t="shared" si="2"/>
        <v>80.580177276390017</v>
      </c>
      <c r="E20" s="76" t="str">
        <f>IF(B20&gt;'Peajes Actuales'!$C$15,'Peajes Actuales'!$B$15,IF(B20&gt;'Peajes Actuales'!$C$14,'Peajes Actuales'!$B$14,IF(B20&gt;'Peajes Actuales'!$C$13,'Peajes Actuales'!$B$13,IF(B20&gt;'Peajes Actuales'!$C$12,'Peajes Actuales'!$B$12,'Peajes Actuales'!$B$11))))</f>
        <v>3.5</v>
      </c>
      <c r="F20" s="88">
        <f>'Peajes Actuales'!$H$29</f>
        <v>19.612000000000002</v>
      </c>
      <c r="G20" s="88">
        <f>'Peajes Actuales'!$I$29</f>
        <v>0.11599999999999999</v>
      </c>
      <c r="H20" s="123">
        <f t="shared" si="3"/>
        <v>18964.061240934734</v>
      </c>
      <c r="I20" s="123">
        <f t="shared" si="4"/>
        <v>2900</v>
      </c>
      <c r="J20" s="122">
        <f t="shared" si="5"/>
        <v>21864.061240934734</v>
      </c>
      <c r="K20" s="89">
        <f>'Peajes Actuales'!$I$5</f>
        <v>10.848000000000001</v>
      </c>
      <c r="L20" s="122">
        <f t="shared" si="6"/>
        <v>10489.605157131347</v>
      </c>
      <c r="M20" s="90">
        <f>VLOOKUP(E20,'Peajes Actuales'!$B$15:$J$15,7,FALSE)</f>
        <v>59.258000000000003</v>
      </c>
      <c r="N20" s="90">
        <f>VLOOKUP(E20,'Peajes Actuales'!$B$15:$J$15,9,FALSE)</f>
        <v>2.0099999999999998</v>
      </c>
      <c r="O20" s="123">
        <f t="shared" si="7"/>
        <v>47272.699435938761</v>
      </c>
      <c r="P20" s="123">
        <f t="shared" si="8"/>
        <v>50249.999999999993</v>
      </c>
      <c r="Q20" s="122">
        <f t="shared" si="9"/>
        <v>97522.699435938761</v>
      </c>
      <c r="R20" s="124">
        <f t="shared" si="10"/>
        <v>129876.36583400484</v>
      </c>
      <c r="S20" s="79">
        <f t="shared" si="11"/>
        <v>5.1950546333601935</v>
      </c>
      <c r="U20" s="76" t="str">
        <f>IF(B20&gt;'Peajes Circular CNMC'!$C$23,'Peajes Circular CNMC'!$B$23,IF(B20&gt;'Peajes Circular CNMC'!$C$22,'Peajes Circular CNMC'!$B$22,IF(B20&gt;'Peajes Circular CNMC'!$C$21,'Peajes Circular CNMC'!$B$21,IF(B20&gt;'Peajes Circular CNMC'!$C$20,'Peajes Circular CNMC'!$B$20,IF(B20&gt;'Peajes Circular CNMC'!$C$19,'Peajes Circular CNMC'!$B$19,IF(B20&gt;'Peajes Circular CNMC'!$C$18,'Peajes Circular CNMC'!$B$18,IF(B20&gt;'Peajes Circular CNMC'!$C$17,'Peajes Circular CNMC'!$B$17,IF(B20&gt;'Peajes Circular CNMC'!$C$16,'Peajes Circular CNMC'!$B$16,IF(B20&gt;'Peajes Circular CNMC'!$C$15,'Peajes Circular CNMC'!$B$15,IF(B20&gt;'Peajes Circular CNMC'!$C$14,'Peajes Circular CNMC'!$B$14,'Peajes Circular CNMC'!$B$13))))))))))</f>
        <v>D.8</v>
      </c>
      <c r="V20" s="96">
        <f>'Peajes Circular CNMC'!$H$30</f>
        <v>29.867609999999999</v>
      </c>
      <c r="W20" s="88">
        <f>'Peajes Circular CNMC'!$I$30</f>
        <v>0.15190999999999999</v>
      </c>
      <c r="X20" s="123">
        <f t="shared" si="12"/>
        <v>28880.847703464951</v>
      </c>
      <c r="Y20" s="123">
        <f t="shared" si="13"/>
        <v>3797.7499999999995</v>
      </c>
      <c r="Z20" s="122">
        <f t="shared" si="14"/>
        <v>32678.597703464951</v>
      </c>
      <c r="AA20" s="88">
        <f>'Peajes Circular CNMC'!$H$35</f>
        <v>0.26106499999999999</v>
      </c>
      <c r="AB20" s="122">
        <f t="shared" si="15"/>
        <v>6526.625</v>
      </c>
      <c r="AC20" s="97">
        <f>'Peajes Circular CNMC'!$J$6</f>
        <v>20.326666666666664</v>
      </c>
      <c r="AD20" s="97">
        <f>'Peajes Circular CNMC'!$J$7</f>
        <v>2.2599999999999999E-2</v>
      </c>
      <c r="AE20" s="123">
        <f t="shared" si="16"/>
        <v>19655.116841257051</v>
      </c>
      <c r="AF20" s="123">
        <f t="shared" si="17"/>
        <v>565</v>
      </c>
      <c r="AG20" s="122">
        <f t="shared" si="18"/>
        <v>20220.116841257051</v>
      </c>
      <c r="AH20" s="97">
        <f>'Peajes Circular CNMC'!$K$6</f>
        <v>12.351666666666667</v>
      </c>
      <c r="AI20" s="97">
        <f>'Peajes Circular CNMC'!$K$7</f>
        <v>2.2599999999999999E-2</v>
      </c>
      <c r="AJ20" s="123">
        <f t="shared" si="19"/>
        <v>11943.593875906528</v>
      </c>
      <c r="AK20" s="123">
        <f t="shared" si="20"/>
        <v>565</v>
      </c>
      <c r="AL20" s="122">
        <f t="shared" si="21"/>
        <v>12508.593875906528</v>
      </c>
      <c r="AM20" s="98">
        <f>VLOOKUP(U20,'Peajes Circular CNMC'!$B$13:$J$23,7,FALSE)</f>
        <v>42.213333333333331</v>
      </c>
      <c r="AN20" s="87">
        <f>VLOOKUP(U20,'Peajes Circular CNMC'!$B$13:$J$23,8,FALSE)</f>
        <v>0</v>
      </c>
      <c r="AO20" s="87">
        <f>VLOOKUP(U20,'Peajes Circular CNMC'!$B$13:$J$23,9,FALSE)</f>
        <v>0.70599999999999996</v>
      </c>
      <c r="AP20" s="123">
        <f t="shared" si="22"/>
        <v>40818.694601128125</v>
      </c>
      <c r="AQ20" s="123">
        <f t="shared" si="23"/>
        <v>0</v>
      </c>
      <c r="AR20" s="123">
        <f t="shared" si="24"/>
        <v>17650</v>
      </c>
      <c r="AS20" s="122">
        <f t="shared" si="25"/>
        <v>58468.694601128125</v>
      </c>
      <c r="AT20" s="124">
        <f t="shared" si="26"/>
        <v>130402.62802175667</v>
      </c>
      <c r="AU20" s="79">
        <f t="shared" si="27"/>
        <v>5.2161051208702665</v>
      </c>
      <c r="AW20" s="75">
        <f t="shared" si="28"/>
        <v>0.49462615126062798</v>
      </c>
      <c r="AX20" s="100">
        <f t="shared" si="29"/>
        <v>0.92763374201081583</v>
      </c>
      <c r="AY20" s="100">
        <f t="shared" si="30"/>
        <v>-0.2721972536900642</v>
      </c>
      <c r="AZ20" s="125">
        <f t="shared" si="0"/>
        <v>526.26218775182497</v>
      </c>
      <c r="BA20" s="100">
        <f t="shared" si="1"/>
        <v>4.0520242799559191E-3</v>
      </c>
      <c r="BB20" s="192">
        <f t="shared" si="31"/>
        <v>2.105048751007299E-2</v>
      </c>
    </row>
    <row r="21" spans="2:54">
      <c r="B21" s="105">
        <v>27500</v>
      </c>
      <c r="C21" s="112">
        <f>IF($C$5&lt;&gt;"Memoria CNMC",$C$5,IF(B21&gt;'Tipología Clientes'!$C$16,'Tipología Clientes'!$L$16,IF(B21&gt;'Tipología Clientes'!$C$15,'Tipología Clientes'!$L$15,IF(B21&gt;'Tipología Clientes'!$C$14,'Tipología Clientes'!$L$14,IF(B21&gt;'Tipología Clientes'!$C$13,'Tipología Clientes'!$L$13,IF(B21&gt;'Tipología Clientes'!$C$12,'Tipología Clientes'!$L$12,IF(B21&gt;'Tipología Clientes'!$C$11,'Tipología Clientes'!$L$11,IF(B21&gt;'Tipología Clientes'!$C$10,'Tipología Clientes'!$L$10,IF(B21&gt;'Tipología Clientes'!$C$9,'Tipología Clientes'!$L$9,IF(B21&gt;'Tipología Clientes'!$C$8,'Tipología Clientes'!$L$8,IF(B21&gt;'Tipología Clientes'!$C$7,'Tipología Clientes'!$L$7,'Tipología Clientes'!$L$6)))))))))))</f>
        <v>0.85</v>
      </c>
      <c r="D21" s="113">
        <f t="shared" si="2"/>
        <v>88.638195004029015</v>
      </c>
      <c r="E21" s="76" t="str">
        <f>IF(B21&gt;'Peajes Actuales'!$C$15,'Peajes Actuales'!$B$15,IF(B21&gt;'Peajes Actuales'!$C$14,'Peajes Actuales'!$B$14,IF(B21&gt;'Peajes Actuales'!$C$13,'Peajes Actuales'!$B$13,IF(B21&gt;'Peajes Actuales'!$C$12,'Peajes Actuales'!$B$12,'Peajes Actuales'!$B$11))))</f>
        <v>3.5</v>
      </c>
      <c r="F21" s="88">
        <f>'Peajes Actuales'!$H$29</f>
        <v>19.612000000000002</v>
      </c>
      <c r="G21" s="88">
        <f>'Peajes Actuales'!$I$29</f>
        <v>0.11599999999999999</v>
      </c>
      <c r="H21" s="123">
        <f t="shared" si="3"/>
        <v>20860.467365028206</v>
      </c>
      <c r="I21" s="123">
        <f t="shared" si="4"/>
        <v>3190</v>
      </c>
      <c r="J21" s="122">
        <f t="shared" si="5"/>
        <v>24050.467365028206</v>
      </c>
      <c r="K21" s="89">
        <f>'Peajes Actuales'!$I$5</f>
        <v>10.848000000000001</v>
      </c>
      <c r="L21" s="122">
        <f t="shared" si="6"/>
        <v>11538.565672844483</v>
      </c>
      <c r="M21" s="90">
        <f>VLOOKUP(E21,'Peajes Actuales'!$B$15:$J$15,7,FALSE)</f>
        <v>59.258000000000003</v>
      </c>
      <c r="N21" s="90">
        <f>VLOOKUP(E21,'Peajes Actuales'!$B$15:$J$15,9,FALSE)</f>
        <v>2.0099999999999998</v>
      </c>
      <c r="O21" s="123">
        <f t="shared" si="7"/>
        <v>51999.969379532646</v>
      </c>
      <c r="P21" s="123">
        <f t="shared" si="8"/>
        <v>55274.999999999993</v>
      </c>
      <c r="Q21" s="122">
        <f t="shared" si="9"/>
        <v>107274.96937953265</v>
      </c>
      <c r="R21" s="124">
        <f t="shared" si="10"/>
        <v>142864.00241740534</v>
      </c>
      <c r="S21" s="79">
        <f t="shared" si="11"/>
        <v>5.1950546333601944</v>
      </c>
      <c r="U21" s="76" t="str">
        <f>IF(B21&gt;'Peajes Circular CNMC'!$C$23,'Peajes Circular CNMC'!$B$23,IF(B21&gt;'Peajes Circular CNMC'!$C$22,'Peajes Circular CNMC'!$B$22,IF(B21&gt;'Peajes Circular CNMC'!$C$21,'Peajes Circular CNMC'!$B$21,IF(B21&gt;'Peajes Circular CNMC'!$C$20,'Peajes Circular CNMC'!$B$20,IF(B21&gt;'Peajes Circular CNMC'!$C$19,'Peajes Circular CNMC'!$B$19,IF(B21&gt;'Peajes Circular CNMC'!$C$18,'Peajes Circular CNMC'!$B$18,IF(B21&gt;'Peajes Circular CNMC'!$C$17,'Peajes Circular CNMC'!$B$17,IF(B21&gt;'Peajes Circular CNMC'!$C$16,'Peajes Circular CNMC'!$B$16,IF(B21&gt;'Peajes Circular CNMC'!$C$15,'Peajes Circular CNMC'!$B$15,IF(B21&gt;'Peajes Circular CNMC'!$C$14,'Peajes Circular CNMC'!$B$14,'Peajes Circular CNMC'!$B$13))))))))))</f>
        <v>D.8</v>
      </c>
      <c r="V21" s="96">
        <f>'Peajes Circular CNMC'!$H$30</f>
        <v>29.867609999999999</v>
      </c>
      <c r="W21" s="88">
        <f>'Peajes Circular CNMC'!$I$30</f>
        <v>0.15190999999999999</v>
      </c>
      <c r="X21" s="123">
        <f t="shared" si="12"/>
        <v>31768.932473811445</v>
      </c>
      <c r="Y21" s="123">
        <f t="shared" si="13"/>
        <v>4177.5249999999996</v>
      </c>
      <c r="Z21" s="122">
        <f t="shared" si="14"/>
        <v>35946.457473811446</v>
      </c>
      <c r="AA21" s="88">
        <f>'Peajes Circular CNMC'!$H$35</f>
        <v>0.26106499999999999</v>
      </c>
      <c r="AB21" s="122">
        <f t="shared" si="15"/>
        <v>7179.2874999999995</v>
      </c>
      <c r="AC21" s="97">
        <f>'Peajes Circular CNMC'!$J$6</f>
        <v>20.326666666666664</v>
      </c>
      <c r="AD21" s="97">
        <f>'Peajes Circular CNMC'!$J$7</f>
        <v>2.2599999999999999E-2</v>
      </c>
      <c r="AE21" s="123">
        <f t="shared" si="16"/>
        <v>21620.628525382755</v>
      </c>
      <c r="AF21" s="123">
        <f t="shared" si="17"/>
        <v>621.5</v>
      </c>
      <c r="AG21" s="122">
        <f t="shared" si="18"/>
        <v>22242.128525382755</v>
      </c>
      <c r="AH21" s="97">
        <f>'Peajes Circular CNMC'!$K$6</f>
        <v>12.351666666666667</v>
      </c>
      <c r="AI21" s="97">
        <f>'Peajes Circular CNMC'!$K$7</f>
        <v>2.2599999999999999E-2</v>
      </c>
      <c r="AJ21" s="123">
        <f t="shared" si="19"/>
        <v>13137.95326349718</v>
      </c>
      <c r="AK21" s="123">
        <f t="shared" si="20"/>
        <v>621.5</v>
      </c>
      <c r="AL21" s="122">
        <f t="shared" si="21"/>
        <v>13759.45326349718</v>
      </c>
      <c r="AM21" s="98">
        <f>VLOOKUP(U21,'Peajes Circular CNMC'!$B$13:$J$23,7,FALSE)</f>
        <v>42.213333333333331</v>
      </c>
      <c r="AN21" s="87">
        <f>VLOOKUP(U21,'Peajes Circular CNMC'!$B$13:$J$23,8,FALSE)</f>
        <v>0</v>
      </c>
      <c r="AO21" s="87">
        <f>VLOOKUP(U21,'Peajes Circular CNMC'!$B$13:$J$23,9,FALSE)</f>
        <v>0.70599999999999996</v>
      </c>
      <c r="AP21" s="123">
        <f t="shared" si="22"/>
        <v>44900.564061240933</v>
      </c>
      <c r="AQ21" s="123">
        <f t="shared" si="23"/>
        <v>0</v>
      </c>
      <c r="AR21" s="123">
        <f t="shared" si="24"/>
        <v>19415</v>
      </c>
      <c r="AS21" s="122">
        <f t="shared" si="25"/>
        <v>64315.564061240933</v>
      </c>
      <c r="AT21" s="124">
        <f t="shared" si="26"/>
        <v>143442.89082393231</v>
      </c>
      <c r="AU21" s="79">
        <f t="shared" si="27"/>
        <v>5.2161051208702656</v>
      </c>
      <c r="AW21" s="75">
        <f t="shared" si="28"/>
        <v>0.49462615126062809</v>
      </c>
      <c r="AX21" s="100">
        <f t="shared" si="29"/>
        <v>0.92763374201081561</v>
      </c>
      <c r="AY21" s="100">
        <f t="shared" si="30"/>
        <v>-0.27219725369006431</v>
      </c>
      <c r="AZ21" s="125">
        <f t="shared" si="0"/>
        <v>578.88840652696672</v>
      </c>
      <c r="BA21" s="100">
        <f t="shared" si="1"/>
        <v>4.0520242799556329E-3</v>
      </c>
      <c r="BB21" s="192">
        <f t="shared" si="31"/>
        <v>2.1050487510071214E-2</v>
      </c>
    </row>
    <row r="22" spans="2:54">
      <c r="B22" s="105">
        <v>30000</v>
      </c>
      <c r="C22" s="112">
        <f>IF($C$5&lt;&gt;"Memoria CNMC",$C$5,IF(B22&gt;'Tipología Clientes'!$C$16,'Tipología Clientes'!$L$16,IF(B22&gt;'Tipología Clientes'!$C$15,'Tipología Clientes'!$L$15,IF(B22&gt;'Tipología Clientes'!$C$14,'Tipología Clientes'!$L$14,IF(B22&gt;'Tipología Clientes'!$C$13,'Tipología Clientes'!$L$13,IF(B22&gt;'Tipología Clientes'!$C$12,'Tipología Clientes'!$L$12,IF(B22&gt;'Tipología Clientes'!$C$11,'Tipología Clientes'!$L$11,IF(B22&gt;'Tipología Clientes'!$C$10,'Tipología Clientes'!$L$10,IF(B22&gt;'Tipología Clientes'!$C$9,'Tipología Clientes'!$L$9,IF(B22&gt;'Tipología Clientes'!$C$8,'Tipología Clientes'!$L$8,IF(B22&gt;'Tipología Clientes'!$C$7,'Tipología Clientes'!$L$7,'Tipología Clientes'!$L$6)))))))))))</f>
        <v>0.85</v>
      </c>
      <c r="D22" s="113">
        <f t="shared" si="2"/>
        <v>96.696212731668012</v>
      </c>
      <c r="E22" s="76" t="str">
        <f>IF(B22&gt;'Peajes Actuales'!$C$15,'Peajes Actuales'!$B$15,IF(B22&gt;'Peajes Actuales'!$C$14,'Peajes Actuales'!$B$14,IF(B22&gt;'Peajes Actuales'!$C$13,'Peajes Actuales'!$B$13,IF(B22&gt;'Peajes Actuales'!$C$12,'Peajes Actuales'!$B$12,'Peajes Actuales'!$B$11))))</f>
        <v>3.5</v>
      </c>
      <c r="F22" s="88">
        <f>'Peajes Actuales'!$H$29</f>
        <v>19.612000000000002</v>
      </c>
      <c r="G22" s="88">
        <f>'Peajes Actuales'!$I$29</f>
        <v>0.11599999999999999</v>
      </c>
      <c r="H22" s="123">
        <f t="shared" si="3"/>
        <v>22756.873489121677</v>
      </c>
      <c r="I22" s="123">
        <f t="shared" si="4"/>
        <v>3479.9999999999995</v>
      </c>
      <c r="J22" s="122">
        <f t="shared" si="5"/>
        <v>26236.873489121677</v>
      </c>
      <c r="K22" s="89">
        <f>'Peajes Actuales'!$I$5</f>
        <v>10.848000000000001</v>
      </c>
      <c r="L22" s="122">
        <f t="shared" si="6"/>
        <v>12587.526188557616</v>
      </c>
      <c r="M22" s="90">
        <f>VLOOKUP(E22,'Peajes Actuales'!$B$15:$J$15,7,FALSE)</f>
        <v>59.258000000000003</v>
      </c>
      <c r="N22" s="90">
        <f>VLOOKUP(E22,'Peajes Actuales'!$B$15:$J$15,9,FALSE)</f>
        <v>2.0099999999999998</v>
      </c>
      <c r="O22" s="123">
        <f t="shared" si="7"/>
        <v>56727.239323126516</v>
      </c>
      <c r="P22" s="123">
        <f t="shared" si="8"/>
        <v>60299.999999999993</v>
      </c>
      <c r="Q22" s="122">
        <f t="shared" si="9"/>
        <v>117027.2393231265</v>
      </c>
      <c r="R22" s="124">
        <f t="shared" si="10"/>
        <v>155851.63900080579</v>
      </c>
      <c r="S22" s="79">
        <f t="shared" si="11"/>
        <v>5.1950546333601935</v>
      </c>
      <c r="U22" s="76" t="str">
        <f>IF(B22&gt;'Peajes Circular CNMC'!$C$23,'Peajes Circular CNMC'!$B$23,IF(B22&gt;'Peajes Circular CNMC'!$C$22,'Peajes Circular CNMC'!$B$22,IF(B22&gt;'Peajes Circular CNMC'!$C$21,'Peajes Circular CNMC'!$B$21,IF(B22&gt;'Peajes Circular CNMC'!$C$20,'Peajes Circular CNMC'!$B$20,IF(B22&gt;'Peajes Circular CNMC'!$C$19,'Peajes Circular CNMC'!$B$19,IF(B22&gt;'Peajes Circular CNMC'!$C$18,'Peajes Circular CNMC'!$B$18,IF(B22&gt;'Peajes Circular CNMC'!$C$17,'Peajes Circular CNMC'!$B$17,IF(B22&gt;'Peajes Circular CNMC'!$C$16,'Peajes Circular CNMC'!$B$16,IF(B22&gt;'Peajes Circular CNMC'!$C$15,'Peajes Circular CNMC'!$B$15,IF(B22&gt;'Peajes Circular CNMC'!$C$14,'Peajes Circular CNMC'!$B$14,'Peajes Circular CNMC'!$B$13))))))))))</f>
        <v>D.8</v>
      </c>
      <c r="V22" s="96">
        <f>'Peajes Circular CNMC'!$H$30</f>
        <v>29.867609999999999</v>
      </c>
      <c r="W22" s="88">
        <f>'Peajes Circular CNMC'!$I$30</f>
        <v>0.15190999999999999</v>
      </c>
      <c r="X22" s="123">
        <f t="shared" si="12"/>
        <v>34657.017244157934</v>
      </c>
      <c r="Y22" s="123">
        <f t="shared" si="13"/>
        <v>4557.2999999999993</v>
      </c>
      <c r="Z22" s="122">
        <f t="shared" si="14"/>
        <v>39214.317244157937</v>
      </c>
      <c r="AA22" s="88">
        <f>'Peajes Circular CNMC'!$H$35</f>
        <v>0.26106499999999999</v>
      </c>
      <c r="AB22" s="122">
        <f t="shared" si="15"/>
        <v>7831.95</v>
      </c>
      <c r="AC22" s="97">
        <f>'Peajes Circular CNMC'!$J$6</f>
        <v>20.326666666666664</v>
      </c>
      <c r="AD22" s="97">
        <f>'Peajes Circular CNMC'!$J$7</f>
        <v>2.2599999999999999E-2</v>
      </c>
      <c r="AE22" s="123">
        <f t="shared" si="16"/>
        <v>23586.140209508456</v>
      </c>
      <c r="AF22" s="123">
        <f t="shared" si="17"/>
        <v>678</v>
      </c>
      <c r="AG22" s="122">
        <f t="shared" si="18"/>
        <v>24264.140209508456</v>
      </c>
      <c r="AH22" s="97">
        <f>'Peajes Circular CNMC'!$K$6</f>
        <v>12.351666666666667</v>
      </c>
      <c r="AI22" s="97">
        <f>'Peajes Circular CNMC'!$K$7</f>
        <v>2.2599999999999999E-2</v>
      </c>
      <c r="AJ22" s="123">
        <f t="shared" si="19"/>
        <v>14332.312651087832</v>
      </c>
      <c r="AK22" s="123">
        <f t="shared" si="20"/>
        <v>678</v>
      </c>
      <c r="AL22" s="122">
        <f t="shared" si="21"/>
        <v>15010.312651087832</v>
      </c>
      <c r="AM22" s="98">
        <f>VLOOKUP(U22,'Peajes Circular CNMC'!$B$13:$J$23,7,FALSE)</f>
        <v>42.213333333333331</v>
      </c>
      <c r="AN22" s="87">
        <f>VLOOKUP(U22,'Peajes Circular CNMC'!$B$13:$J$23,8,FALSE)</f>
        <v>0</v>
      </c>
      <c r="AO22" s="87">
        <f>VLOOKUP(U22,'Peajes Circular CNMC'!$B$13:$J$23,9,FALSE)</f>
        <v>0.70599999999999996</v>
      </c>
      <c r="AP22" s="123">
        <f t="shared" si="22"/>
        <v>48982.433521353742</v>
      </c>
      <c r="AQ22" s="123">
        <f t="shared" si="23"/>
        <v>0</v>
      </c>
      <c r="AR22" s="123">
        <f t="shared" si="24"/>
        <v>21180</v>
      </c>
      <c r="AS22" s="122">
        <f t="shared" si="25"/>
        <v>70162.433521353742</v>
      </c>
      <c r="AT22" s="124">
        <f>Z22+AB22+AG22+AL22+AS22</f>
        <v>156483.15362610796</v>
      </c>
      <c r="AU22" s="79">
        <f t="shared" si="27"/>
        <v>5.2161051208702656</v>
      </c>
      <c r="AW22" s="75">
        <f t="shared" si="28"/>
        <v>0.49462615126062803</v>
      </c>
      <c r="AX22" s="100">
        <f t="shared" si="29"/>
        <v>0.9276337420108155</v>
      </c>
      <c r="AY22" s="100">
        <f t="shared" si="30"/>
        <v>-0.2721972536900642</v>
      </c>
      <c r="AZ22" s="125">
        <f t="shared" si="0"/>
        <v>631.51462530216668</v>
      </c>
      <c r="BA22" s="100">
        <f t="shared" si="1"/>
        <v>4.0520242799557699E-3</v>
      </c>
      <c r="BB22" s="192">
        <f t="shared" si="31"/>
        <v>2.1050487510072102E-2</v>
      </c>
    </row>
    <row r="29" spans="2:54">
      <c r="N29" s="67" t="e">
        <f>I29/SUM($I$25:$I$29)</f>
        <v>#DIV/0!</v>
      </c>
    </row>
  </sheetData>
  <mergeCells count="17">
    <mergeCell ref="C5:D5"/>
    <mergeCell ref="B6:C6"/>
    <mergeCell ref="F6:S6"/>
    <mergeCell ref="V6:AU6"/>
    <mergeCell ref="F7:J7"/>
    <mergeCell ref="K7:L7"/>
    <mergeCell ref="M7:Q7"/>
    <mergeCell ref="R7:S7"/>
    <mergeCell ref="V7:Z7"/>
    <mergeCell ref="AC7:AG7"/>
    <mergeCell ref="AH7:AL7"/>
    <mergeCell ref="AM7:AS7"/>
    <mergeCell ref="AT7:AU7"/>
    <mergeCell ref="R8:S8"/>
    <mergeCell ref="AT8:AU8"/>
    <mergeCell ref="AA7:AB7"/>
    <mergeCell ref="AZ8:BA8"/>
  </mergeCells>
  <conditionalFormatting sqref="AZ10:AZ22">
    <cfRule type="cellIs" dxfId="43" priority="8" operator="greaterThan">
      <formula>0</formula>
    </cfRule>
  </conditionalFormatting>
  <conditionalFormatting sqref="BA10:BA22">
    <cfRule type="cellIs" dxfId="42" priority="7" operator="greaterThan">
      <formula>0</formula>
    </cfRule>
  </conditionalFormatting>
  <conditionalFormatting sqref="AZ10:AZ22">
    <cfRule type="cellIs" dxfId="41" priority="6" operator="lessThan">
      <formula>0</formula>
    </cfRule>
  </conditionalFormatting>
  <conditionalFormatting sqref="BA10:BA22">
    <cfRule type="cellIs" dxfId="40" priority="5" operator="lessThan">
      <formula>0</formula>
    </cfRule>
  </conditionalFormatting>
  <conditionalFormatting sqref="AW10:AY22">
    <cfRule type="cellIs" dxfId="39" priority="4" operator="greaterThan">
      <formula>0</formula>
    </cfRule>
  </conditionalFormatting>
  <conditionalFormatting sqref="AW10:AY22">
    <cfRule type="cellIs" dxfId="38" priority="3" operator="lessThan">
      <formula>0</formula>
    </cfRule>
  </conditionalFormatting>
  <conditionalFormatting sqref="BB10:BB22">
    <cfRule type="cellIs" dxfId="37" priority="2" operator="greaterThan">
      <formula>0</formula>
    </cfRule>
  </conditionalFormatting>
  <conditionalFormatting sqref="BB10:BB22">
    <cfRule type="cellIs" dxfId="36" priority="1" operator="lessThan">
      <formula>0</formula>
    </cfRule>
  </conditionalFormatting>
  <dataValidations count="2">
    <dataValidation type="list" allowBlank="1" showInputMessage="1" showErrorMessage="1" sqref="D6">
      <mc:AlternateContent xmlns:x12ac="http://schemas.microsoft.com/office/spreadsheetml/2011/1/ac" xmlns:mc="http://schemas.openxmlformats.org/markup-compatibility/2006">
        <mc:Choice Requires="x12ac">
          <x12ac:list>0,"0,10","0,15","0,20","0,25","0,30","0,35","0,40","0,45","0,50"</x12ac:list>
        </mc:Choice>
        <mc:Fallback>
          <formula1>"0,0,10,0,15,0,20,0,25,0,30,0,35,0,40,0,45,0,50"</formula1>
        </mc:Fallback>
      </mc:AlternateContent>
    </dataValidation>
    <dataValidation type="list" allowBlank="1" showInputMessage="1" showErrorMessage="1" sqref="C5">
      <mc:AlternateContent xmlns:x12ac="http://schemas.microsoft.com/office/spreadsheetml/2011/1/ac" xmlns:mc="http://schemas.openxmlformats.org/markup-compatibility/2006">
        <mc:Choice Requires="x12ac">
          <x12ac:list>Memoria CNMC,"0,80","0,85","0,90"</x12ac:list>
        </mc:Choice>
        <mc:Fallback>
          <formula1>"Memoria CNMC,0,80,0,85,0,90"</formula1>
        </mc:Fallback>
      </mc:AlternateContent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1" orientation="landscape" r:id="rId1"/>
  <headerFooter>
    <oddHeader>&amp;LANEXO I: CÁLCULOS DEL IMPACTO INICIAL DE LA NUEVA METODOLOGÍA DE PEAJES SOBRE LOS CLIENTES&amp;R&amp;A</odd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B36"/>
  <sheetViews>
    <sheetView showGridLines="0" zoomScale="80" zoomScaleNormal="80" workbookViewId="0">
      <pane ySplit="9" topLeftCell="A46" activePane="bottomLeft" state="frozen"/>
      <selection activeCell="AD62" sqref="AD62"/>
      <selection pane="bottomLeft" activeCell="AD62" sqref="AD62"/>
    </sheetView>
  </sheetViews>
  <sheetFormatPr baseColWidth="10" defaultColWidth="11" defaultRowHeight="16.5" outlineLevelCol="1"/>
  <cols>
    <col min="1" max="1" width="2.140625" style="67" customWidth="1"/>
    <col min="2" max="2" width="10.140625" style="66" customWidth="1"/>
    <col min="3" max="3" width="6.7109375" style="67" customWidth="1"/>
    <col min="4" max="4" width="10.42578125" style="67" customWidth="1"/>
    <col min="5" max="5" width="8.42578125" style="67" customWidth="1"/>
    <col min="6" max="6" width="13.42578125" style="74" hidden="1" customWidth="1" outlineLevel="1"/>
    <col min="7" max="7" width="9.7109375" style="74" customWidth="1" outlineLevel="1"/>
    <col min="8" max="8" width="11.5703125" style="78" hidden="1" customWidth="1" outlineLevel="1"/>
    <col min="9" max="9" width="10" style="78" hidden="1" customWidth="1" outlineLevel="1"/>
    <col min="10" max="10" width="13.28515625" style="78" customWidth="1" collapsed="1"/>
    <col min="11" max="11" width="13.42578125" style="67" hidden="1" customWidth="1" outlineLevel="1"/>
    <col min="12" max="12" width="14.5703125" style="67" customWidth="1" collapsed="1"/>
    <col min="13" max="13" width="13.42578125" style="67" hidden="1" customWidth="1" outlineLevel="1"/>
    <col min="14" max="14" width="8.28515625" style="67" customWidth="1" outlineLevel="1"/>
    <col min="15" max="15" width="11" style="67" hidden="1" customWidth="1" outlineLevel="1"/>
    <col min="16" max="16" width="12.5703125" style="67" hidden="1" customWidth="1" outlineLevel="1"/>
    <col min="17" max="17" width="12.85546875" style="67" customWidth="1" collapsed="1"/>
    <col min="18" max="18" width="17.28515625" style="67" bestFit="1" customWidth="1"/>
    <col min="19" max="19" width="8.5703125" style="67" customWidth="1"/>
    <col min="20" max="20" width="1.42578125" style="67" customWidth="1"/>
    <col min="21" max="21" width="9" style="67" customWidth="1"/>
    <col min="22" max="22" width="13.42578125" style="67" hidden="1" customWidth="1" outlineLevel="1"/>
    <col min="23" max="23" width="8.5703125" style="67" hidden="1" customWidth="1" outlineLevel="1"/>
    <col min="24" max="24" width="11.5703125" style="67" hidden="1" customWidth="1" outlineLevel="1"/>
    <col min="25" max="25" width="10.42578125" style="67" hidden="1" customWidth="1" outlineLevel="1"/>
    <col min="26" max="26" width="13" style="67" customWidth="1" collapsed="1"/>
    <col min="27" max="27" width="9" style="67" hidden="1" customWidth="1" outlineLevel="1"/>
    <col min="28" max="28" width="13.28515625" style="67" customWidth="1" collapsed="1"/>
    <col min="29" max="32" width="13.42578125" style="67" hidden="1" customWidth="1" outlineLevel="1"/>
    <col min="33" max="33" width="15.42578125" style="67" customWidth="1" collapsed="1"/>
    <col min="34" max="37" width="13.42578125" style="67" hidden="1" customWidth="1" outlineLevel="1"/>
    <col min="38" max="38" width="14.42578125" style="67" customWidth="1" collapsed="1"/>
    <col min="39" max="40" width="13.42578125" style="67" hidden="1" customWidth="1" outlineLevel="1"/>
    <col min="41" max="41" width="7.42578125" style="67" hidden="1" customWidth="1" outlineLevel="1"/>
    <col min="42" max="44" width="11.5703125" style="67" hidden="1" customWidth="1" outlineLevel="1"/>
    <col min="45" max="45" width="14.42578125" style="67" customWidth="1" collapsed="1"/>
    <col min="46" max="46" width="12.42578125" style="67" bestFit="1" customWidth="1"/>
    <col min="47" max="47" width="8.42578125" style="67" customWidth="1"/>
    <col min="48" max="48" width="0.7109375" style="67" customWidth="1"/>
    <col min="49" max="49" width="11" style="74" hidden="1" customWidth="1" outlineLevel="1"/>
    <col min="50" max="50" width="12.140625" style="74" hidden="1" customWidth="1" outlineLevel="1"/>
    <col min="51" max="51" width="10.5703125" style="67" hidden="1" customWidth="1" outlineLevel="1"/>
    <col min="52" max="52" width="12.28515625" style="67" bestFit="1" customWidth="1" collapsed="1"/>
    <col min="53" max="53" width="9.42578125" style="67" customWidth="1"/>
    <col min="54" max="54" width="8.42578125" style="67" bestFit="1" customWidth="1"/>
    <col min="55" max="16384" width="11" style="67"/>
  </cols>
  <sheetData>
    <row r="2" spans="2:54" ht="18">
      <c r="B2" s="205" t="s">
        <v>137</v>
      </c>
    </row>
    <row r="3" spans="2:54" ht="20.25">
      <c r="B3" s="206" t="s">
        <v>153</v>
      </c>
    </row>
    <row r="5" spans="2:54">
      <c r="B5" s="128" t="s">
        <v>38</v>
      </c>
      <c r="C5" s="252" t="s">
        <v>105</v>
      </c>
      <c r="D5" s="253"/>
    </row>
    <row r="6" spans="2:54">
      <c r="B6" s="67"/>
      <c r="F6" s="244" t="s">
        <v>100</v>
      </c>
      <c r="G6" s="245"/>
      <c r="H6" s="245"/>
      <c r="I6" s="245"/>
      <c r="J6" s="245"/>
      <c r="K6" s="245"/>
      <c r="L6" s="245"/>
      <c r="M6" s="245"/>
      <c r="N6" s="245"/>
      <c r="O6" s="245"/>
      <c r="P6" s="245"/>
      <c r="Q6" s="245"/>
      <c r="R6" s="245"/>
      <c r="S6" s="246"/>
      <c r="V6" s="247" t="s">
        <v>101</v>
      </c>
      <c r="W6" s="248"/>
      <c r="X6" s="248"/>
      <c r="Y6" s="248"/>
      <c r="Z6" s="248"/>
      <c r="AA6" s="248"/>
      <c r="AB6" s="248"/>
      <c r="AC6" s="248"/>
      <c r="AD6" s="248"/>
      <c r="AE6" s="248"/>
      <c r="AF6" s="248"/>
      <c r="AG6" s="248"/>
      <c r="AH6" s="248"/>
      <c r="AI6" s="248"/>
      <c r="AJ6" s="248"/>
      <c r="AK6" s="248"/>
      <c r="AL6" s="248"/>
      <c r="AM6" s="248"/>
      <c r="AN6" s="248"/>
      <c r="AO6" s="248"/>
      <c r="AP6" s="248"/>
      <c r="AQ6" s="248"/>
      <c r="AR6" s="248"/>
      <c r="AS6" s="248"/>
      <c r="AT6" s="248"/>
      <c r="AU6" s="249"/>
    </row>
    <row r="7" spans="2:54">
      <c r="F7" s="254" t="s">
        <v>94</v>
      </c>
      <c r="G7" s="255"/>
      <c r="H7" s="255"/>
      <c r="I7" s="255"/>
      <c r="J7" s="256"/>
      <c r="K7" s="254" t="s">
        <v>95</v>
      </c>
      <c r="L7" s="256"/>
      <c r="M7" s="254" t="s">
        <v>96</v>
      </c>
      <c r="N7" s="255"/>
      <c r="O7" s="255"/>
      <c r="P7" s="255"/>
      <c r="Q7" s="256"/>
      <c r="R7" s="254" t="s">
        <v>99</v>
      </c>
      <c r="S7" s="256"/>
      <c r="V7" s="240" t="s">
        <v>94</v>
      </c>
      <c r="W7" s="241"/>
      <c r="X7" s="241"/>
      <c r="Y7" s="241"/>
      <c r="Z7" s="242"/>
      <c r="AA7" s="240" t="s">
        <v>133</v>
      </c>
      <c r="AB7" s="242"/>
      <c r="AC7" s="240" t="s">
        <v>134</v>
      </c>
      <c r="AD7" s="241"/>
      <c r="AE7" s="241"/>
      <c r="AF7" s="241"/>
      <c r="AG7" s="242"/>
      <c r="AH7" s="240" t="s">
        <v>135</v>
      </c>
      <c r="AI7" s="241"/>
      <c r="AJ7" s="241"/>
      <c r="AK7" s="241"/>
      <c r="AL7" s="242"/>
      <c r="AM7" s="240" t="s">
        <v>104</v>
      </c>
      <c r="AN7" s="241"/>
      <c r="AO7" s="241"/>
      <c r="AP7" s="241"/>
      <c r="AQ7" s="241"/>
      <c r="AR7" s="241"/>
      <c r="AS7" s="242"/>
      <c r="AT7" s="240" t="s">
        <v>99</v>
      </c>
      <c r="AU7" s="242"/>
    </row>
    <row r="8" spans="2:54">
      <c r="B8" s="68" t="s">
        <v>86</v>
      </c>
      <c r="C8" s="69" t="s">
        <v>38</v>
      </c>
      <c r="D8" s="70" t="s">
        <v>88</v>
      </c>
      <c r="F8" s="83" t="s">
        <v>54</v>
      </c>
      <c r="G8" s="82" t="s">
        <v>91</v>
      </c>
      <c r="H8" s="85" t="s">
        <v>54</v>
      </c>
      <c r="I8" s="85" t="s">
        <v>91</v>
      </c>
      <c r="J8" s="86" t="s">
        <v>92</v>
      </c>
      <c r="K8" s="83" t="s">
        <v>54</v>
      </c>
      <c r="L8" s="84" t="s">
        <v>92</v>
      </c>
      <c r="M8" s="83" t="s">
        <v>50</v>
      </c>
      <c r="N8" s="82" t="s">
        <v>91</v>
      </c>
      <c r="O8" s="82" t="s">
        <v>50</v>
      </c>
      <c r="P8" s="82" t="s">
        <v>91</v>
      </c>
      <c r="Q8" s="84" t="s">
        <v>92</v>
      </c>
      <c r="R8" s="238" t="s">
        <v>98</v>
      </c>
      <c r="S8" s="239"/>
      <c r="V8" s="94" t="s">
        <v>54</v>
      </c>
      <c r="W8" s="91" t="s">
        <v>91</v>
      </c>
      <c r="X8" s="92" t="s">
        <v>54</v>
      </c>
      <c r="Y8" s="92" t="s">
        <v>91</v>
      </c>
      <c r="Z8" s="93" t="s">
        <v>92</v>
      </c>
      <c r="AA8" s="198"/>
      <c r="AB8" s="197" t="s">
        <v>92</v>
      </c>
      <c r="AC8" s="94" t="s">
        <v>54</v>
      </c>
      <c r="AD8" s="91" t="s">
        <v>91</v>
      </c>
      <c r="AE8" s="91" t="s">
        <v>54</v>
      </c>
      <c r="AF8" s="91" t="s">
        <v>91</v>
      </c>
      <c r="AG8" s="95" t="s">
        <v>92</v>
      </c>
      <c r="AH8" s="94" t="s">
        <v>54</v>
      </c>
      <c r="AI8" s="91" t="s">
        <v>91</v>
      </c>
      <c r="AJ8" s="91" t="s">
        <v>54</v>
      </c>
      <c r="AK8" s="91" t="s">
        <v>91</v>
      </c>
      <c r="AL8" s="95" t="s">
        <v>92</v>
      </c>
      <c r="AM8" s="94" t="s">
        <v>90</v>
      </c>
      <c r="AN8" s="91" t="s">
        <v>50</v>
      </c>
      <c r="AO8" s="91" t="s">
        <v>91</v>
      </c>
      <c r="AP8" s="91" t="s">
        <v>90</v>
      </c>
      <c r="AQ8" s="91" t="s">
        <v>50</v>
      </c>
      <c r="AR8" s="91" t="s">
        <v>91</v>
      </c>
      <c r="AS8" s="95" t="s">
        <v>92</v>
      </c>
      <c r="AT8" s="250" t="s">
        <v>98</v>
      </c>
      <c r="AU8" s="251"/>
      <c r="AW8" s="102" t="s">
        <v>94</v>
      </c>
      <c r="AX8" s="102" t="s">
        <v>95</v>
      </c>
      <c r="AY8" s="102" t="s">
        <v>96</v>
      </c>
      <c r="AZ8" s="243" t="s">
        <v>92</v>
      </c>
      <c r="BA8" s="243"/>
    </row>
    <row r="9" spans="2:54" s="74" customFormat="1">
      <c r="B9" s="71" t="s">
        <v>87</v>
      </c>
      <c r="C9" s="72" t="s">
        <v>53</v>
      </c>
      <c r="D9" s="73" t="s">
        <v>37</v>
      </c>
      <c r="E9" s="136" t="s">
        <v>89</v>
      </c>
      <c r="F9" s="73" t="s">
        <v>58</v>
      </c>
      <c r="G9" s="73" t="s">
        <v>12</v>
      </c>
      <c r="H9" s="77" t="s">
        <v>93</v>
      </c>
      <c r="I9" s="77" t="s">
        <v>93</v>
      </c>
      <c r="J9" s="77" t="s">
        <v>93</v>
      </c>
      <c r="K9" s="73" t="s">
        <v>58</v>
      </c>
      <c r="L9" s="73" t="s">
        <v>93</v>
      </c>
      <c r="M9" s="73" t="s">
        <v>97</v>
      </c>
      <c r="N9" s="73" t="s">
        <v>12</v>
      </c>
      <c r="O9" s="73" t="s">
        <v>93</v>
      </c>
      <c r="P9" s="73" t="s">
        <v>93</v>
      </c>
      <c r="Q9" s="73" t="s">
        <v>93</v>
      </c>
      <c r="R9" s="73" t="s">
        <v>93</v>
      </c>
      <c r="S9" s="73" t="s">
        <v>12</v>
      </c>
      <c r="U9" s="135" t="s">
        <v>89</v>
      </c>
      <c r="V9" s="73" t="s">
        <v>58</v>
      </c>
      <c r="W9" s="73" t="s">
        <v>12</v>
      </c>
      <c r="X9" s="77" t="s">
        <v>93</v>
      </c>
      <c r="Y9" s="77" t="s">
        <v>93</v>
      </c>
      <c r="Z9" s="77" t="s">
        <v>93</v>
      </c>
      <c r="AA9" s="73" t="s">
        <v>12</v>
      </c>
      <c r="AB9" s="77" t="s">
        <v>93</v>
      </c>
      <c r="AC9" s="73" t="s">
        <v>58</v>
      </c>
      <c r="AD9" s="73" t="s">
        <v>12</v>
      </c>
      <c r="AE9" s="73" t="s">
        <v>93</v>
      </c>
      <c r="AF9" s="73" t="s">
        <v>93</v>
      </c>
      <c r="AG9" s="73" t="s">
        <v>93</v>
      </c>
      <c r="AH9" s="73" t="s">
        <v>58</v>
      </c>
      <c r="AI9" s="73" t="s">
        <v>12</v>
      </c>
      <c r="AJ9" s="73" t="s">
        <v>93</v>
      </c>
      <c r="AK9" s="73" t="s">
        <v>93</v>
      </c>
      <c r="AL9" s="73" t="s">
        <v>93</v>
      </c>
      <c r="AM9" s="73" t="s">
        <v>58</v>
      </c>
      <c r="AN9" s="73" t="s">
        <v>97</v>
      </c>
      <c r="AO9" s="73" t="s">
        <v>12</v>
      </c>
      <c r="AP9" s="73" t="s">
        <v>93</v>
      </c>
      <c r="AQ9" s="73" t="s">
        <v>93</v>
      </c>
      <c r="AR9" s="73" t="s">
        <v>93</v>
      </c>
      <c r="AS9" s="73" t="s">
        <v>93</v>
      </c>
      <c r="AT9" s="73" t="s">
        <v>93</v>
      </c>
      <c r="AU9" s="73" t="s">
        <v>12</v>
      </c>
      <c r="AW9" s="101" t="s">
        <v>102</v>
      </c>
      <c r="AX9" s="101" t="s">
        <v>102</v>
      </c>
      <c r="AY9" s="101" t="s">
        <v>102</v>
      </c>
      <c r="AZ9" s="103" t="s">
        <v>103</v>
      </c>
      <c r="BA9" s="104" t="s">
        <v>53</v>
      </c>
      <c r="BB9" s="191" t="s">
        <v>126</v>
      </c>
    </row>
    <row r="10" spans="2:54">
      <c r="B10" s="111">
        <v>0.5</v>
      </c>
      <c r="C10" s="112">
        <f>IF($C$5&lt;&gt;"Memoria CNMC",$C$5,IF(B10&gt;'Tipología Clientes'!$C$16,'Tipología Clientes'!$L$16,IF(B10&gt;'Tipología Clientes'!$C$15,'Tipología Clientes'!$L$15,IF(B10&gt;'Tipología Clientes'!$C$14,'Tipología Clientes'!$L$14,IF(B10&gt;'Tipología Clientes'!$C$13,'Tipología Clientes'!$L$13,IF(B10&gt;'Tipología Clientes'!$C$12,'Tipología Clientes'!$L$12,IF(B10&gt;'Tipología Clientes'!$C$11,'Tipología Clientes'!$L$11,IF(B10&gt;'Tipología Clientes'!$C$10,'Tipología Clientes'!$L$10,IF(B10&gt;'Tipología Clientes'!$C$9,'Tipología Clientes'!$L$9,IF(B10&gt;'Tipología Clientes'!$C$8,'Tipología Clientes'!$L$8,IF(B10&gt;'Tipología Clientes'!$C$7,'Tipología Clientes'!$L$7,'Tipología Clientes'!$L$6)))))))))))</f>
        <v>0.41011804141973951</v>
      </c>
      <c r="D10" s="113">
        <f>B10/365/C10</f>
        <v>3.3401676477251823E-3</v>
      </c>
      <c r="E10" s="76" t="str">
        <f>IF(B10&gt;'Peajes Actuales'!$C$14,'Peajes Actuales'!$B$14,IF(B10&gt;'Peajes Actuales'!$C$13,'Peajes Actuales'!$B$13,IF(B10&gt;'Peajes Actuales'!$C$12,'Peajes Actuales'!$B$12,'Peajes Actuales'!$B$11)))</f>
        <v>3.1</v>
      </c>
      <c r="F10" s="88">
        <f>'Peajes Actuales'!$H$29</f>
        <v>19.612000000000002</v>
      </c>
      <c r="G10" s="88">
        <f>'Peajes Actuales'!$I$29</f>
        <v>0.11599999999999999</v>
      </c>
      <c r="H10" s="123">
        <f>D10*F10*12</f>
        <v>0.78608841488623538</v>
      </c>
      <c r="I10" s="123">
        <f>B10*G10</f>
        <v>5.7999999999999996E-2</v>
      </c>
      <c r="J10" s="122">
        <f>H10+I10</f>
        <v>0.84408841488623532</v>
      </c>
      <c r="K10" s="89">
        <f>'Peajes Actuales'!$I$5</f>
        <v>10.848000000000001</v>
      </c>
      <c r="L10" s="122">
        <f>12*K10*D10</f>
        <v>0.43480966371027341</v>
      </c>
      <c r="M10" s="87">
        <f>VLOOKUP(E10,'Peajes Actuales'!$B$11:$J$14,8,FALSE)</f>
        <v>2.5299999999999998</v>
      </c>
      <c r="N10" s="90">
        <f>VLOOKUP(E10,'Peajes Actuales'!$B$11:$J$14,9,FALSE)</f>
        <v>29.286999999999999</v>
      </c>
      <c r="O10" s="123">
        <f>M10*12</f>
        <v>30.36</v>
      </c>
      <c r="P10" s="123">
        <f>B10*N10</f>
        <v>14.6435</v>
      </c>
      <c r="Q10" s="122">
        <f>SUM(O10:P10)</f>
        <v>45.003500000000003</v>
      </c>
      <c r="R10" s="124">
        <f>J10+L10+Q10</f>
        <v>46.282398078596515</v>
      </c>
      <c r="S10" s="79">
        <f>R10/B10</f>
        <v>92.56479615719303</v>
      </c>
      <c r="U10" s="76" t="str">
        <f>IF(B10&gt;'Peajes Circular CNMC'!$C$23,'Peajes Circular CNMC'!$B$23,IF(B10&gt;'Peajes Circular CNMC'!$C$22,'Peajes Circular CNMC'!$B$22,IF(B10&gt;'Peajes Circular CNMC'!$C$21,'Peajes Circular CNMC'!$B$21,IF(B10&gt;'Peajes Circular CNMC'!$C$20,'Peajes Circular CNMC'!$B$20,IF(B10&gt;'Peajes Circular CNMC'!$C$19,'Peajes Circular CNMC'!$B$19,IF(B10&gt;'Peajes Circular CNMC'!$C$18,'Peajes Circular CNMC'!$B$18,IF(B10&gt;'Peajes Circular CNMC'!$C$17,'Peajes Circular CNMC'!$B$17,IF(B10&gt;'Peajes Circular CNMC'!$C$16,'Peajes Circular CNMC'!$B$16,IF(B10&gt;'Peajes Circular CNMC'!$C$15,'Peajes Circular CNMC'!$B$15,IF(B10&gt;'Peajes Circular CNMC'!$C$14,'Peajes Circular CNMC'!$B$14,'Peajes Circular CNMC'!$B$13))))))))))</f>
        <v>D.1</v>
      </c>
      <c r="V10" s="96">
        <f>'Peajes Circular CNMC'!$H$30</f>
        <v>29.867609999999999</v>
      </c>
      <c r="W10" s="88">
        <f>'Peajes Circular CNMC'!$I$30</f>
        <v>0.15190999999999999</v>
      </c>
      <c r="X10" s="123">
        <f>12*V10*D10</f>
        <v>1.1971538956424777</v>
      </c>
      <c r="Y10" s="123">
        <f>W10*B10</f>
        <v>7.5954999999999995E-2</v>
      </c>
      <c r="Z10" s="122">
        <f>X10+Y10</f>
        <v>1.2731088956424776</v>
      </c>
      <c r="AA10" s="88">
        <f>'Peajes Circular CNMC'!$H$35</f>
        <v>0.26106499999999999</v>
      </c>
      <c r="AB10" s="122">
        <f>B10*AA10</f>
        <v>0.1305325</v>
      </c>
      <c r="AC10" s="97">
        <f>'Peajes Circular CNMC'!$J$6</f>
        <v>20.326666666666664</v>
      </c>
      <c r="AD10" s="97">
        <f>'Peajes Circular CNMC'!$J$7</f>
        <v>2.2599999999999999E-2</v>
      </c>
      <c r="AE10" s="123">
        <f>AC10*12*D10</f>
        <v>0.81473369263312634</v>
      </c>
      <c r="AF10" s="123">
        <f>AD10*B10</f>
        <v>1.1299999999999999E-2</v>
      </c>
      <c r="AG10" s="122">
        <f>AE10+AF10</f>
        <v>0.82603369263312632</v>
      </c>
      <c r="AH10" s="97">
        <f>'Peajes Circular CNMC'!$K$6</f>
        <v>12.351666666666667</v>
      </c>
      <c r="AI10" s="97">
        <f>'Peajes Circular CNMC'!$K$7</f>
        <v>2.2599999999999999E-2</v>
      </c>
      <c r="AJ10" s="123">
        <f>AH10*12*D10</f>
        <v>0.49507964874582649</v>
      </c>
      <c r="AK10" s="123">
        <f>AI10*B10</f>
        <v>1.1299999999999999E-2</v>
      </c>
      <c r="AL10" s="122">
        <f>AJ10+AK10</f>
        <v>0.50637964874582653</v>
      </c>
      <c r="AM10" s="98">
        <f>VLOOKUP(U10,'Peajes Circular CNMC'!$B$13:$J$23,7,FALSE)</f>
        <v>0</v>
      </c>
      <c r="AN10" s="87">
        <f>VLOOKUP(U10,'Peajes Circular CNMC'!$B$13:$J$23,8,FALSE)</f>
        <v>0.51300000000000001</v>
      </c>
      <c r="AO10" s="87">
        <f>VLOOKUP(U10,'Peajes Circular CNMC'!$B$13:$J$23,9,FALSE)</f>
        <v>15.61</v>
      </c>
      <c r="AP10" s="123">
        <f>12*AM10*D10</f>
        <v>0</v>
      </c>
      <c r="AQ10" s="123">
        <f>12*AN10</f>
        <v>6.1560000000000006</v>
      </c>
      <c r="AR10" s="123">
        <f>AO10*B10</f>
        <v>7.8049999999999997</v>
      </c>
      <c r="AS10" s="122">
        <f>AP10+AQ10+AR10</f>
        <v>13.961</v>
      </c>
      <c r="AT10" s="124">
        <f>Z10+AB10+AG10+AL10+AS10</f>
        <v>16.697054737021432</v>
      </c>
      <c r="AU10" s="79">
        <f>AT10/B10</f>
        <v>33.394109474042864</v>
      </c>
      <c r="AW10" s="75">
        <f>(Z10-J10)/J10</f>
        <v>0.508264860872501</v>
      </c>
      <c r="AX10" s="100">
        <f>(AG10-L10)/L10</f>
        <v>0.89975927762161489</v>
      </c>
      <c r="AY10" s="100">
        <f>(AL10+AS10-Q10)/Q10</f>
        <v>-0.6785276778751469</v>
      </c>
      <c r="AZ10" s="125">
        <f t="shared" ref="AZ10:AZ34" si="0">AT10-R10</f>
        <v>-29.585343341575083</v>
      </c>
      <c r="BA10" s="100">
        <f t="shared" ref="BA10:BA34" si="1">AZ10/R10</f>
        <v>-0.63923531558009195</v>
      </c>
      <c r="BB10" s="192">
        <f>AU10-S10</f>
        <v>-59.170686683150166</v>
      </c>
    </row>
    <row r="11" spans="2:54">
      <c r="B11" s="111">
        <v>1</v>
      </c>
      <c r="C11" s="112">
        <f>IF($C$5&lt;&gt;"Memoria CNMC",$C$5,IF(B11&gt;'Tipología Clientes'!$C$16,'Tipología Clientes'!$L$16,IF(B11&gt;'Tipología Clientes'!$C$15,'Tipología Clientes'!$L$15,IF(B11&gt;'Tipología Clientes'!$C$14,'Tipología Clientes'!$L$14,IF(B11&gt;'Tipología Clientes'!$C$13,'Tipología Clientes'!$L$13,IF(B11&gt;'Tipología Clientes'!$C$12,'Tipología Clientes'!$L$12,IF(B11&gt;'Tipología Clientes'!$C$11,'Tipología Clientes'!$L$11,IF(B11&gt;'Tipología Clientes'!$C$10,'Tipología Clientes'!$L$10,IF(B11&gt;'Tipología Clientes'!$C$9,'Tipología Clientes'!$L$9,IF(B11&gt;'Tipología Clientes'!$C$8,'Tipología Clientes'!$L$8,IF(B11&gt;'Tipología Clientes'!$C$7,'Tipología Clientes'!$L$7,'Tipología Clientes'!$L$6)))))))))))</f>
        <v>0.41011804141973951</v>
      </c>
      <c r="D11" s="113">
        <f t="shared" ref="D11:D23" si="2">B11/365/C11</f>
        <v>6.6803352954503646E-3</v>
      </c>
      <c r="E11" s="76" t="str">
        <f>IF(B11&gt;'Peajes Actuales'!$C$14,'Peajes Actuales'!$B$14,IF(B11&gt;'Peajes Actuales'!$C$13,'Peajes Actuales'!$B$13,IF(B11&gt;'Peajes Actuales'!$C$12,'Peajes Actuales'!$B$12,'Peajes Actuales'!$B$11)))</f>
        <v>3.1</v>
      </c>
      <c r="F11" s="88">
        <f>'Peajes Actuales'!$H$29</f>
        <v>19.612000000000002</v>
      </c>
      <c r="G11" s="88">
        <f>'Peajes Actuales'!$I$29</f>
        <v>0.11599999999999999</v>
      </c>
      <c r="H11" s="123">
        <f t="shared" ref="H11:H23" si="3">D11*F11*12</f>
        <v>1.5721768297724708</v>
      </c>
      <c r="I11" s="123">
        <f t="shared" ref="I11:I23" si="4">B11*G11</f>
        <v>0.11599999999999999</v>
      </c>
      <c r="J11" s="122">
        <f t="shared" ref="J11:J23" si="5">H11+I11</f>
        <v>1.6881768297724706</v>
      </c>
      <c r="K11" s="89">
        <f>'Peajes Actuales'!$I$5</f>
        <v>10.848000000000001</v>
      </c>
      <c r="L11" s="122">
        <f t="shared" ref="L11:L23" si="6">12*K11*D11</f>
        <v>0.86961932742054682</v>
      </c>
      <c r="M11" s="87">
        <f>VLOOKUP(E11,'Peajes Actuales'!$B$11:$J$14,8,FALSE)</f>
        <v>2.5299999999999998</v>
      </c>
      <c r="N11" s="90">
        <f>VLOOKUP(E11,'Peajes Actuales'!$B$11:$J$14,9,FALSE)</f>
        <v>29.286999999999999</v>
      </c>
      <c r="O11" s="123">
        <f t="shared" ref="O11:O23" si="7">M11*12</f>
        <v>30.36</v>
      </c>
      <c r="P11" s="123">
        <f t="shared" ref="P11:P23" si="8">B11*N11</f>
        <v>29.286999999999999</v>
      </c>
      <c r="Q11" s="122">
        <f t="shared" ref="Q11:Q23" si="9">SUM(O11:P11)</f>
        <v>59.646999999999998</v>
      </c>
      <c r="R11" s="124">
        <f t="shared" ref="R11:R23" si="10">J11+L11+Q11</f>
        <v>62.204796157193016</v>
      </c>
      <c r="S11" s="79">
        <f t="shared" ref="S11:S23" si="11">R11/B11</f>
        <v>62.204796157193016</v>
      </c>
      <c r="U11" s="76" t="str">
        <f>IF(B11&gt;'Peajes Circular CNMC'!$C$23,'Peajes Circular CNMC'!$B$23,IF(B11&gt;'Peajes Circular CNMC'!$C$22,'Peajes Circular CNMC'!$B$22,IF(B11&gt;'Peajes Circular CNMC'!$C$21,'Peajes Circular CNMC'!$B$21,IF(B11&gt;'Peajes Circular CNMC'!$C$20,'Peajes Circular CNMC'!$B$20,IF(B11&gt;'Peajes Circular CNMC'!$C$19,'Peajes Circular CNMC'!$B$19,IF(B11&gt;'Peajes Circular CNMC'!$C$18,'Peajes Circular CNMC'!$B$18,IF(B11&gt;'Peajes Circular CNMC'!$C$17,'Peajes Circular CNMC'!$B$17,IF(B11&gt;'Peajes Circular CNMC'!$C$16,'Peajes Circular CNMC'!$B$16,IF(B11&gt;'Peajes Circular CNMC'!$C$15,'Peajes Circular CNMC'!$B$15,IF(B11&gt;'Peajes Circular CNMC'!$C$14,'Peajes Circular CNMC'!$B$14,'Peajes Circular CNMC'!$B$13))))))))))</f>
        <v>D.1</v>
      </c>
      <c r="V11" s="96">
        <f>'Peajes Circular CNMC'!$H$30</f>
        <v>29.867609999999999</v>
      </c>
      <c r="W11" s="88">
        <f>'Peajes Circular CNMC'!$I$30</f>
        <v>0.15190999999999999</v>
      </c>
      <c r="X11" s="123">
        <f t="shared" ref="X11:X34" si="12">12*V11*D11</f>
        <v>2.3943077912849553</v>
      </c>
      <c r="Y11" s="123">
        <f t="shared" ref="Y11:Y34" si="13">W11*B11</f>
        <v>0.15190999999999999</v>
      </c>
      <c r="Z11" s="122">
        <f t="shared" ref="Z11:Z34" si="14">X11+Y11</f>
        <v>2.5462177912849553</v>
      </c>
      <c r="AA11" s="88">
        <f>'Peajes Circular CNMC'!$H$35</f>
        <v>0.26106499999999999</v>
      </c>
      <c r="AB11" s="122">
        <f t="shared" ref="AB11:AB34" si="15">B11*AA11</f>
        <v>0.26106499999999999</v>
      </c>
      <c r="AC11" s="97">
        <f>'Peajes Circular CNMC'!$J$6</f>
        <v>20.326666666666664</v>
      </c>
      <c r="AD11" s="97">
        <f>'Peajes Circular CNMC'!$J$7</f>
        <v>2.2599999999999999E-2</v>
      </c>
      <c r="AE11" s="123">
        <f t="shared" ref="AE11:AE34" si="16">AC11*12*D11</f>
        <v>1.6294673852662527</v>
      </c>
      <c r="AF11" s="123">
        <f t="shared" ref="AF11:AF34" si="17">AD11*B11</f>
        <v>2.2599999999999999E-2</v>
      </c>
      <c r="AG11" s="122">
        <f t="shared" ref="AG11:AG34" si="18">AE11+AF11</f>
        <v>1.6520673852662526</v>
      </c>
      <c r="AH11" s="97">
        <f>'Peajes Circular CNMC'!$K$6</f>
        <v>12.351666666666667</v>
      </c>
      <c r="AI11" s="97">
        <f>'Peajes Circular CNMC'!$K$7</f>
        <v>2.2599999999999999E-2</v>
      </c>
      <c r="AJ11" s="123">
        <f t="shared" ref="AJ11:AJ34" si="19">AH11*12*D11</f>
        <v>0.99015929749165299</v>
      </c>
      <c r="AK11" s="123">
        <f t="shared" ref="AK11:AK34" si="20">AI11*B11</f>
        <v>2.2599999999999999E-2</v>
      </c>
      <c r="AL11" s="122">
        <f t="shared" ref="AL11:AL34" si="21">AJ11+AK11</f>
        <v>1.0127592974916531</v>
      </c>
      <c r="AM11" s="98">
        <f>VLOOKUP(U11,'Peajes Circular CNMC'!$B$13:$J$23,7,FALSE)</f>
        <v>0</v>
      </c>
      <c r="AN11" s="87">
        <f>VLOOKUP(U11,'Peajes Circular CNMC'!$B$13:$J$23,8,FALSE)</f>
        <v>0.51300000000000001</v>
      </c>
      <c r="AO11" s="87">
        <f>VLOOKUP(U11,'Peajes Circular CNMC'!$B$13:$J$23,9,FALSE)</f>
        <v>15.61</v>
      </c>
      <c r="AP11" s="123">
        <f t="shared" ref="AP11:AP34" si="22">12*AM11*D11</f>
        <v>0</v>
      </c>
      <c r="AQ11" s="123">
        <f t="shared" ref="AQ11:AQ34" si="23">12*AN11</f>
        <v>6.1560000000000006</v>
      </c>
      <c r="AR11" s="123">
        <f t="shared" ref="AR11:AR34" si="24">AO11*B11</f>
        <v>15.61</v>
      </c>
      <c r="AS11" s="122">
        <f t="shared" ref="AS11:AS34" si="25">AP11+AQ11+AR11</f>
        <v>21.765999999999998</v>
      </c>
      <c r="AT11" s="124">
        <f t="shared" ref="AT11:AT34" si="26">Z11+AB11+AG11+AL11+AS11</f>
        <v>27.238109474042858</v>
      </c>
      <c r="AU11" s="79">
        <f t="shared" ref="AU11:AU31" si="27">AT11/B11</f>
        <v>27.238109474042858</v>
      </c>
      <c r="AW11" s="75">
        <f t="shared" ref="AW11:AW34" si="28">(Z11-J11)/J11</f>
        <v>0.508264860872501</v>
      </c>
      <c r="AX11" s="100">
        <f t="shared" ref="AX11:AX34" si="29">(AG11-L11)/L11</f>
        <v>0.89975927762161489</v>
      </c>
      <c r="AY11" s="100">
        <f t="shared" ref="AY11:AY34" si="30">(AL11+AS11-Q11)/Q11</f>
        <v>-0.61810720912214101</v>
      </c>
      <c r="AZ11" s="125">
        <f t="shared" si="0"/>
        <v>-34.966686683150158</v>
      </c>
      <c r="BA11" s="100">
        <f t="shared" si="1"/>
        <v>-0.56212203629425128</v>
      </c>
      <c r="BB11" s="192">
        <f t="shared" ref="BB11:BB34" si="31">AU11-S11</f>
        <v>-34.966686683150158</v>
      </c>
    </row>
    <row r="12" spans="2:54">
      <c r="B12" s="111">
        <v>1.5</v>
      </c>
      <c r="C12" s="112">
        <f>IF($C$5&lt;&gt;"Memoria CNMC",$C$5,IF(B12&gt;'Tipología Clientes'!$C$16,'Tipología Clientes'!$L$16,IF(B12&gt;'Tipología Clientes'!$C$15,'Tipología Clientes'!$L$15,IF(B12&gt;'Tipología Clientes'!$C$14,'Tipología Clientes'!$L$14,IF(B12&gt;'Tipología Clientes'!$C$13,'Tipología Clientes'!$L$13,IF(B12&gt;'Tipología Clientes'!$C$12,'Tipología Clientes'!$L$12,IF(B12&gt;'Tipología Clientes'!$C$11,'Tipología Clientes'!$L$11,IF(B12&gt;'Tipología Clientes'!$C$10,'Tipología Clientes'!$L$10,IF(B12&gt;'Tipología Clientes'!$C$9,'Tipología Clientes'!$L$9,IF(B12&gt;'Tipología Clientes'!$C$8,'Tipología Clientes'!$L$8,IF(B12&gt;'Tipología Clientes'!$C$7,'Tipología Clientes'!$L$7,'Tipología Clientes'!$L$6)))))))))))</f>
        <v>0.41011804141973951</v>
      </c>
      <c r="D12" s="113">
        <f t="shared" si="2"/>
        <v>1.0020502943175545E-2</v>
      </c>
      <c r="E12" s="76" t="str">
        <f>IF(B12&gt;'Peajes Actuales'!$C$14,'Peajes Actuales'!$B$14,IF(B12&gt;'Peajes Actuales'!$C$13,'Peajes Actuales'!$B$13,IF(B12&gt;'Peajes Actuales'!$C$12,'Peajes Actuales'!$B$12,'Peajes Actuales'!$B$11)))</f>
        <v>3.1</v>
      </c>
      <c r="F12" s="88">
        <f>'Peajes Actuales'!$H$29</f>
        <v>19.612000000000002</v>
      </c>
      <c r="G12" s="88">
        <f>'Peajes Actuales'!$I$29</f>
        <v>0.11599999999999999</v>
      </c>
      <c r="H12" s="123">
        <f t="shared" si="3"/>
        <v>2.358265244658706</v>
      </c>
      <c r="I12" s="123">
        <f t="shared" si="4"/>
        <v>0.17399999999999999</v>
      </c>
      <c r="J12" s="122">
        <f t="shared" si="5"/>
        <v>2.5322652446587059</v>
      </c>
      <c r="K12" s="89">
        <f>'Peajes Actuales'!$I$5</f>
        <v>10.848000000000001</v>
      </c>
      <c r="L12" s="122">
        <f t="shared" si="6"/>
        <v>1.30442899113082</v>
      </c>
      <c r="M12" s="87">
        <f>VLOOKUP(E12,'Peajes Actuales'!$B$11:$J$14,8,FALSE)</f>
        <v>2.5299999999999998</v>
      </c>
      <c r="N12" s="90">
        <f>VLOOKUP(E12,'Peajes Actuales'!$B$11:$J$14,9,FALSE)</f>
        <v>29.286999999999999</v>
      </c>
      <c r="O12" s="123">
        <f t="shared" si="7"/>
        <v>30.36</v>
      </c>
      <c r="P12" s="123">
        <f t="shared" si="8"/>
        <v>43.930499999999995</v>
      </c>
      <c r="Q12" s="122">
        <f t="shared" si="9"/>
        <v>74.290499999999994</v>
      </c>
      <c r="R12" s="124">
        <f t="shared" si="10"/>
        <v>78.127194235789517</v>
      </c>
      <c r="S12" s="79">
        <f t="shared" si="11"/>
        <v>52.084796157193011</v>
      </c>
      <c r="U12" s="76" t="str">
        <f>IF(B12&gt;'Peajes Circular CNMC'!$C$23,'Peajes Circular CNMC'!$B$23,IF(B12&gt;'Peajes Circular CNMC'!$C$22,'Peajes Circular CNMC'!$B$22,IF(B12&gt;'Peajes Circular CNMC'!$C$21,'Peajes Circular CNMC'!$B$21,IF(B12&gt;'Peajes Circular CNMC'!$C$20,'Peajes Circular CNMC'!$B$20,IF(B12&gt;'Peajes Circular CNMC'!$C$19,'Peajes Circular CNMC'!$B$19,IF(B12&gt;'Peajes Circular CNMC'!$C$18,'Peajes Circular CNMC'!$B$18,IF(B12&gt;'Peajes Circular CNMC'!$C$17,'Peajes Circular CNMC'!$B$17,IF(B12&gt;'Peajes Circular CNMC'!$C$16,'Peajes Circular CNMC'!$B$16,IF(B12&gt;'Peajes Circular CNMC'!$C$15,'Peajes Circular CNMC'!$B$15,IF(B12&gt;'Peajes Circular CNMC'!$C$14,'Peajes Circular CNMC'!$B$14,'Peajes Circular CNMC'!$B$13))))))))))</f>
        <v>D.1</v>
      </c>
      <c r="V12" s="96">
        <f>'Peajes Circular CNMC'!$H$30</f>
        <v>29.867609999999999</v>
      </c>
      <c r="W12" s="88">
        <f>'Peajes Circular CNMC'!$I$30</f>
        <v>0.15190999999999999</v>
      </c>
      <c r="X12" s="123">
        <f t="shared" si="12"/>
        <v>3.5914616869274321</v>
      </c>
      <c r="Y12" s="123">
        <f t="shared" si="13"/>
        <v>0.22786499999999998</v>
      </c>
      <c r="Z12" s="122">
        <f t="shared" si="14"/>
        <v>3.819326686927432</v>
      </c>
      <c r="AA12" s="88">
        <f>'Peajes Circular CNMC'!$H$35</f>
        <v>0.26106499999999999</v>
      </c>
      <c r="AB12" s="122">
        <f t="shared" si="15"/>
        <v>0.39159749999999999</v>
      </c>
      <c r="AC12" s="97">
        <f>'Peajes Circular CNMC'!$J$6</f>
        <v>20.326666666666664</v>
      </c>
      <c r="AD12" s="97">
        <f>'Peajes Circular CNMC'!$J$7</f>
        <v>2.2599999999999999E-2</v>
      </c>
      <c r="AE12" s="123">
        <f t="shared" si="16"/>
        <v>2.4442010778993786</v>
      </c>
      <c r="AF12" s="123">
        <f t="shared" si="17"/>
        <v>3.39E-2</v>
      </c>
      <c r="AG12" s="122">
        <f t="shared" si="18"/>
        <v>2.4781010778993786</v>
      </c>
      <c r="AH12" s="97">
        <f>'Peajes Circular CNMC'!$K$6</f>
        <v>12.351666666666667</v>
      </c>
      <c r="AI12" s="97">
        <f>'Peajes Circular CNMC'!$K$7</f>
        <v>2.2599999999999999E-2</v>
      </c>
      <c r="AJ12" s="123">
        <f t="shared" si="19"/>
        <v>1.4852389462374793</v>
      </c>
      <c r="AK12" s="123">
        <f t="shared" si="20"/>
        <v>3.39E-2</v>
      </c>
      <c r="AL12" s="122">
        <f t="shared" si="21"/>
        <v>1.5191389462374794</v>
      </c>
      <c r="AM12" s="98">
        <f>VLOOKUP(U12,'Peajes Circular CNMC'!$B$13:$J$23,7,FALSE)</f>
        <v>0</v>
      </c>
      <c r="AN12" s="87">
        <f>VLOOKUP(U12,'Peajes Circular CNMC'!$B$13:$J$23,8,FALSE)</f>
        <v>0.51300000000000001</v>
      </c>
      <c r="AO12" s="87">
        <f>VLOOKUP(U12,'Peajes Circular CNMC'!$B$13:$J$23,9,FALSE)</f>
        <v>15.61</v>
      </c>
      <c r="AP12" s="123">
        <f t="shared" si="22"/>
        <v>0</v>
      </c>
      <c r="AQ12" s="123">
        <f t="shared" si="23"/>
        <v>6.1560000000000006</v>
      </c>
      <c r="AR12" s="123">
        <f t="shared" si="24"/>
        <v>23.414999999999999</v>
      </c>
      <c r="AS12" s="122">
        <f t="shared" si="25"/>
        <v>29.570999999999998</v>
      </c>
      <c r="AT12" s="124">
        <f t="shared" si="26"/>
        <v>37.779164211064284</v>
      </c>
      <c r="AU12" s="79">
        <f t="shared" si="27"/>
        <v>25.186109474042855</v>
      </c>
      <c r="AW12" s="75">
        <f t="shared" si="28"/>
        <v>0.50826486087250067</v>
      </c>
      <c r="AX12" s="100">
        <f t="shared" si="29"/>
        <v>0.89975927762161501</v>
      </c>
      <c r="AY12" s="100">
        <f t="shared" si="30"/>
        <v>-0.58150585948085587</v>
      </c>
      <c r="AZ12" s="125">
        <f t="shared" si="0"/>
        <v>-40.348030024725233</v>
      </c>
      <c r="BA12" s="100">
        <f t="shared" si="1"/>
        <v>-0.51644027946215543</v>
      </c>
      <c r="BB12" s="192">
        <f t="shared" si="31"/>
        <v>-26.898686683150157</v>
      </c>
    </row>
    <row r="13" spans="2:54">
      <c r="B13" s="110">
        <v>3</v>
      </c>
      <c r="C13" s="112">
        <f>IF($C$5&lt;&gt;"Memoria CNMC",$C$5,IF(B13&gt;'Tipología Clientes'!$C$16,'Tipología Clientes'!$L$16,IF(B13&gt;'Tipología Clientes'!$C$15,'Tipología Clientes'!$L$15,IF(B13&gt;'Tipología Clientes'!$C$14,'Tipología Clientes'!$L$14,IF(B13&gt;'Tipología Clientes'!$C$13,'Tipología Clientes'!$L$13,IF(B13&gt;'Tipología Clientes'!$C$12,'Tipología Clientes'!$L$12,IF(B13&gt;'Tipología Clientes'!$C$11,'Tipología Clientes'!$L$11,IF(B13&gt;'Tipología Clientes'!$C$10,'Tipología Clientes'!$L$10,IF(B13&gt;'Tipología Clientes'!$C$9,'Tipología Clientes'!$L$9,IF(B13&gt;'Tipología Clientes'!$C$8,'Tipología Clientes'!$L$8,IF(B13&gt;'Tipología Clientes'!$C$7,'Tipología Clientes'!$L$7,'Tipología Clientes'!$L$6)))))))))))</f>
        <v>0.41011804141973951</v>
      </c>
      <c r="D13" s="113">
        <f t="shared" si="2"/>
        <v>2.004100588635109E-2</v>
      </c>
      <c r="E13" s="76" t="str">
        <f>IF(B13&gt;'Peajes Actuales'!$C$14,'Peajes Actuales'!$B$14,IF(B13&gt;'Peajes Actuales'!$C$13,'Peajes Actuales'!$B$13,IF(B13&gt;'Peajes Actuales'!$C$12,'Peajes Actuales'!$B$12,'Peajes Actuales'!$B$11)))</f>
        <v>3.1</v>
      </c>
      <c r="F13" s="88">
        <f>'Peajes Actuales'!$H$29</f>
        <v>19.612000000000002</v>
      </c>
      <c r="G13" s="88">
        <f>'Peajes Actuales'!$I$29</f>
        <v>0.11599999999999999</v>
      </c>
      <c r="H13" s="123">
        <f t="shared" si="3"/>
        <v>4.716530489317412</v>
      </c>
      <c r="I13" s="123">
        <f t="shared" si="4"/>
        <v>0.34799999999999998</v>
      </c>
      <c r="J13" s="122">
        <f t="shared" si="5"/>
        <v>5.0645304893174119</v>
      </c>
      <c r="K13" s="89">
        <f>'Peajes Actuales'!$I$5</f>
        <v>10.848000000000001</v>
      </c>
      <c r="L13" s="122">
        <f t="shared" si="6"/>
        <v>2.60885798226164</v>
      </c>
      <c r="M13" s="87">
        <f>VLOOKUP(E13,'Peajes Actuales'!$B$11:$J$14,8,FALSE)</f>
        <v>2.5299999999999998</v>
      </c>
      <c r="N13" s="90">
        <f>VLOOKUP(E13,'Peajes Actuales'!$B$11:$J$14,9,FALSE)</f>
        <v>29.286999999999999</v>
      </c>
      <c r="O13" s="123">
        <f t="shared" si="7"/>
        <v>30.36</v>
      </c>
      <c r="P13" s="123">
        <f t="shared" si="8"/>
        <v>87.86099999999999</v>
      </c>
      <c r="Q13" s="122">
        <f t="shared" si="9"/>
        <v>118.22099999999999</v>
      </c>
      <c r="R13" s="124">
        <f t="shared" si="10"/>
        <v>125.89438847157905</v>
      </c>
      <c r="S13" s="79">
        <f t="shared" si="11"/>
        <v>41.964796157193014</v>
      </c>
      <c r="U13" s="76" t="str">
        <f>IF(B13&gt;'Peajes Circular CNMC'!$C$23,'Peajes Circular CNMC'!$B$23,IF(B13&gt;'Peajes Circular CNMC'!$C$22,'Peajes Circular CNMC'!$B$22,IF(B13&gt;'Peajes Circular CNMC'!$C$21,'Peajes Circular CNMC'!$B$21,IF(B13&gt;'Peajes Circular CNMC'!$C$20,'Peajes Circular CNMC'!$B$20,IF(B13&gt;'Peajes Circular CNMC'!$C$19,'Peajes Circular CNMC'!$B$19,IF(B13&gt;'Peajes Circular CNMC'!$C$18,'Peajes Circular CNMC'!$B$18,IF(B13&gt;'Peajes Circular CNMC'!$C$17,'Peajes Circular CNMC'!$B$17,IF(B13&gt;'Peajes Circular CNMC'!$C$16,'Peajes Circular CNMC'!$B$16,IF(B13&gt;'Peajes Circular CNMC'!$C$15,'Peajes Circular CNMC'!$B$15,IF(B13&gt;'Peajes Circular CNMC'!$C$14,'Peajes Circular CNMC'!$B$14,'Peajes Circular CNMC'!$B$13))))))))))</f>
        <v>D.1</v>
      </c>
      <c r="V13" s="96">
        <f>'Peajes Circular CNMC'!$H$30</f>
        <v>29.867609999999999</v>
      </c>
      <c r="W13" s="88">
        <f>'Peajes Circular CNMC'!$I$30</f>
        <v>0.15190999999999999</v>
      </c>
      <c r="X13" s="123">
        <f t="shared" si="12"/>
        <v>7.1829233738548641</v>
      </c>
      <c r="Y13" s="123">
        <f t="shared" si="13"/>
        <v>0.45572999999999997</v>
      </c>
      <c r="Z13" s="122">
        <f t="shared" si="14"/>
        <v>7.6386533738548641</v>
      </c>
      <c r="AA13" s="88">
        <f>'Peajes Circular CNMC'!$H$35</f>
        <v>0.26106499999999999</v>
      </c>
      <c r="AB13" s="122">
        <f t="shared" si="15"/>
        <v>0.78319499999999997</v>
      </c>
      <c r="AC13" s="97">
        <f>'Peajes Circular CNMC'!$J$6</f>
        <v>20.326666666666664</v>
      </c>
      <c r="AD13" s="97">
        <f>'Peajes Circular CNMC'!$J$7</f>
        <v>2.2599999999999999E-2</v>
      </c>
      <c r="AE13" s="123">
        <f t="shared" si="16"/>
        <v>4.8884021557987571</v>
      </c>
      <c r="AF13" s="123">
        <f t="shared" si="17"/>
        <v>6.7799999999999999E-2</v>
      </c>
      <c r="AG13" s="122">
        <f t="shared" si="18"/>
        <v>4.9562021557987572</v>
      </c>
      <c r="AH13" s="97">
        <f>'Peajes Circular CNMC'!$K$6</f>
        <v>12.351666666666667</v>
      </c>
      <c r="AI13" s="97">
        <f>'Peajes Circular CNMC'!$K$7</f>
        <v>2.2599999999999999E-2</v>
      </c>
      <c r="AJ13" s="123">
        <f t="shared" si="19"/>
        <v>2.9704778924749586</v>
      </c>
      <c r="AK13" s="123">
        <f t="shared" si="20"/>
        <v>6.7799999999999999E-2</v>
      </c>
      <c r="AL13" s="122">
        <f t="shared" si="21"/>
        <v>3.0382778924749587</v>
      </c>
      <c r="AM13" s="98">
        <f>VLOOKUP(U13,'Peajes Circular CNMC'!$B$13:$J$23,7,FALSE)</f>
        <v>0</v>
      </c>
      <c r="AN13" s="87">
        <f>VLOOKUP(U13,'Peajes Circular CNMC'!$B$13:$J$23,8,FALSE)</f>
        <v>0.51300000000000001</v>
      </c>
      <c r="AO13" s="87">
        <f>VLOOKUP(U13,'Peajes Circular CNMC'!$B$13:$J$23,9,FALSE)</f>
        <v>15.61</v>
      </c>
      <c r="AP13" s="123">
        <f t="shared" si="22"/>
        <v>0</v>
      </c>
      <c r="AQ13" s="123">
        <f t="shared" si="23"/>
        <v>6.1560000000000006</v>
      </c>
      <c r="AR13" s="123">
        <f t="shared" si="24"/>
        <v>46.83</v>
      </c>
      <c r="AS13" s="122">
        <f t="shared" si="25"/>
        <v>52.985999999999997</v>
      </c>
      <c r="AT13" s="124">
        <f t="shared" si="26"/>
        <v>69.402328422128576</v>
      </c>
      <c r="AU13" s="79">
        <f t="shared" si="27"/>
        <v>23.134109474042859</v>
      </c>
      <c r="AW13" s="75">
        <f t="shared" si="28"/>
        <v>0.50826486087250067</v>
      </c>
      <c r="AX13" s="100">
        <f t="shared" si="29"/>
        <v>0.89975927762161501</v>
      </c>
      <c r="AY13" s="100">
        <f t="shared" si="30"/>
        <v>-0.52610553207573141</v>
      </c>
      <c r="AZ13" s="125">
        <f t="shared" si="0"/>
        <v>-56.492060049450473</v>
      </c>
      <c r="BA13" s="100">
        <f t="shared" si="1"/>
        <v>-0.44872579894380032</v>
      </c>
      <c r="BB13" s="192">
        <f t="shared" si="31"/>
        <v>-18.830686683150155</v>
      </c>
    </row>
    <row r="14" spans="2:54">
      <c r="B14" s="110">
        <v>5</v>
      </c>
      <c r="C14" s="112">
        <f>IF($C$5&lt;&gt;"Memoria CNMC",$C$5,IF(B14&gt;'Tipología Clientes'!$C$16,'Tipología Clientes'!$L$16,IF(B14&gt;'Tipología Clientes'!$C$15,'Tipología Clientes'!$L$15,IF(B14&gt;'Tipología Clientes'!$C$14,'Tipología Clientes'!$L$14,IF(B14&gt;'Tipología Clientes'!$C$13,'Tipología Clientes'!$L$13,IF(B14&gt;'Tipología Clientes'!$C$12,'Tipología Clientes'!$L$12,IF(B14&gt;'Tipología Clientes'!$C$11,'Tipología Clientes'!$L$11,IF(B14&gt;'Tipología Clientes'!$C$10,'Tipología Clientes'!$L$10,IF(B14&gt;'Tipología Clientes'!$C$9,'Tipología Clientes'!$L$9,IF(B14&gt;'Tipología Clientes'!$C$8,'Tipología Clientes'!$L$8,IF(B14&gt;'Tipología Clientes'!$C$7,'Tipología Clientes'!$L$7,'Tipología Clientes'!$L$6)))))))))))</f>
        <v>0.37354729180664842</v>
      </c>
      <c r="D14" s="113">
        <f t="shared" si="2"/>
        <v>3.6671742607832479E-2</v>
      </c>
      <c r="E14" s="76" t="str">
        <f>IF(B14&gt;'Peajes Actuales'!$C$14,'Peajes Actuales'!$B$14,IF(B14&gt;'Peajes Actuales'!$C$13,'Peajes Actuales'!$B$13,IF(B14&gt;'Peajes Actuales'!$C$12,'Peajes Actuales'!$B$12,'Peajes Actuales'!$B$11)))</f>
        <v>3.1</v>
      </c>
      <c r="F14" s="88">
        <f>'Peajes Actuales'!$H$29</f>
        <v>19.612000000000002</v>
      </c>
      <c r="G14" s="88">
        <f>'Peajes Actuales'!$I$29</f>
        <v>0.11599999999999999</v>
      </c>
      <c r="H14" s="123">
        <f t="shared" si="3"/>
        <v>8.6304745922977268</v>
      </c>
      <c r="I14" s="123">
        <f t="shared" si="4"/>
        <v>0.57999999999999996</v>
      </c>
      <c r="J14" s="122">
        <f t="shared" si="5"/>
        <v>9.2104745922977269</v>
      </c>
      <c r="K14" s="89">
        <f>'Peajes Actuales'!$I$5</f>
        <v>10.848000000000001</v>
      </c>
      <c r="L14" s="122">
        <f t="shared" si="6"/>
        <v>4.7737807657172011</v>
      </c>
      <c r="M14" s="87">
        <f>VLOOKUP(E14,'Peajes Actuales'!$B$11:$J$14,8,FALSE)</f>
        <v>2.5299999999999998</v>
      </c>
      <c r="N14" s="90">
        <f>VLOOKUP(E14,'Peajes Actuales'!$B$11:$J$14,9,FALSE)</f>
        <v>29.286999999999999</v>
      </c>
      <c r="O14" s="123">
        <f t="shared" si="7"/>
        <v>30.36</v>
      </c>
      <c r="P14" s="123">
        <f t="shared" si="8"/>
        <v>146.435</v>
      </c>
      <c r="Q14" s="122">
        <f t="shared" si="9"/>
        <v>176.79500000000002</v>
      </c>
      <c r="R14" s="124">
        <f t="shared" si="10"/>
        <v>190.77925535801495</v>
      </c>
      <c r="S14" s="79">
        <f t="shared" si="11"/>
        <v>38.155851071602989</v>
      </c>
      <c r="U14" s="76" t="str">
        <f>IF(B14&gt;'Peajes Circular CNMC'!$C$23,'Peajes Circular CNMC'!$B$23,IF(B14&gt;'Peajes Circular CNMC'!$C$22,'Peajes Circular CNMC'!$B$22,IF(B14&gt;'Peajes Circular CNMC'!$C$21,'Peajes Circular CNMC'!$B$21,IF(B14&gt;'Peajes Circular CNMC'!$C$20,'Peajes Circular CNMC'!$B$20,IF(B14&gt;'Peajes Circular CNMC'!$C$19,'Peajes Circular CNMC'!$B$19,IF(B14&gt;'Peajes Circular CNMC'!$C$18,'Peajes Circular CNMC'!$B$18,IF(B14&gt;'Peajes Circular CNMC'!$C$17,'Peajes Circular CNMC'!$B$17,IF(B14&gt;'Peajes Circular CNMC'!$C$16,'Peajes Circular CNMC'!$B$16,IF(B14&gt;'Peajes Circular CNMC'!$C$15,'Peajes Circular CNMC'!$B$15,IF(B14&gt;'Peajes Circular CNMC'!$C$14,'Peajes Circular CNMC'!$B$14,'Peajes Circular CNMC'!$B$13))))))))))</f>
        <v>D.2</v>
      </c>
      <c r="V14" s="96">
        <f>'Peajes Circular CNMC'!$H$30</f>
        <v>29.867609999999999</v>
      </c>
      <c r="W14" s="88">
        <f>'Peajes Circular CNMC'!$I$30</f>
        <v>0.15190999999999999</v>
      </c>
      <c r="X14" s="123">
        <f t="shared" si="12"/>
        <v>13.143567674773481</v>
      </c>
      <c r="Y14" s="123">
        <f t="shared" si="13"/>
        <v>0.75954999999999995</v>
      </c>
      <c r="Z14" s="122">
        <f t="shared" si="14"/>
        <v>13.90311767477348</v>
      </c>
      <c r="AA14" s="88">
        <f>'Peajes Circular CNMC'!$H$35</f>
        <v>0.26106499999999999</v>
      </c>
      <c r="AB14" s="122">
        <f t="shared" si="15"/>
        <v>1.3053249999999998</v>
      </c>
      <c r="AC14" s="97">
        <f>'Peajes Circular CNMC'!$J$6</f>
        <v>20.326666666666664</v>
      </c>
      <c r="AD14" s="97">
        <f>'Peajes Circular CNMC'!$J$7</f>
        <v>2.2599999999999999E-2</v>
      </c>
      <c r="AE14" s="123">
        <f t="shared" si="16"/>
        <v>8.944971456902497</v>
      </c>
      <c r="AF14" s="123">
        <f t="shared" si="17"/>
        <v>0.11299999999999999</v>
      </c>
      <c r="AG14" s="122">
        <f t="shared" si="18"/>
        <v>9.0579714569024965</v>
      </c>
      <c r="AH14" s="97">
        <f>'Peajes Circular CNMC'!$K$6</f>
        <v>12.351666666666667</v>
      </c>
      <c r="AI14" s="97">
        <f>'Peajes Circular CNMC'!$K$7</f>
        <v>2.2599999999999999E-2</v>
      </c>
      <c r="AJ14" s="123">
        <f t="shared" si="19"/>
        <v>5.4354856893329302</v>
      </c>
      <c r="AK14" s="123">
        <f t="shared" si="20"/>
        <v>0.11299999999999999</v>
      </c>
      <c r="AL14" s="122">
        <f t="shared" si="21"/>
        <v>5.5484856893329297</v>
      </c>
      <c r="AM14" s="98">
        <f>VLOOKUP(U14,'Peajes Circular CNMC'!$B$13:$J$23,7,FALSE)</f>
        <v>0</v>
      </c>
      <c r="AN14" s="87">
        <f>VLOOKUP(U14,'Peajes Circular CNMC'!$B$13:$J$23,8,FALSE)</f>
        <v>2.6749999999999998</v>
      </c>
      <c r="AO14" s="87">
        <f>VLOOKUP(U14,'Peajes Circular CNMC'!$B$13:$J$23,9,FALSE)</f>
        <v>16.984999999999999</v>
      </c>
      <c r="AP14" s="123">
        <f t="shared" si="22"/>
        <v>0</v>
      </c>
      <c r="AQ14" s="123">
        <f t="shared" si="23"/>
        <v>32.099999999999994</v>
      </c>
      <c r="AR14" s="123">
        <f t="shared" si="24"/>
        <v>84.924999999999997</v>
      </c>
      <c r="AS14" s="122">
        <f t="shared" si="25"/>
        <v>117.02499999999999</v>
      </c>
      <c r="AT14" s="124">
        <f t="shared" si="26"/>
        <v>146.83989982100888</v>
      </c>
      <c r="AU14" s="79">
        <f t="shared" si="27"/>
        <v>29.367979964201776</v>
      </c>
      <c r="AW14" s="75">
        <f t="shared" si="28"/>
        <v>0.50948982437886348</v>
      </c>
      <c r="AX14" s="100">
        <f t="shared" si="29"/>
        <v>0.89744186032842443</v>
      </c>
      <c r="AY14" s="100">
        <f t="shared" si="30"/>
        <v>-0.30669144665101999</v>
      </c>
      <c r="AZ14" s="125">
        <f t="shared" si="0"/>
        <v>-43.939355537006065</v>
      </c>
      <c r="BA14" s="100">
        <f t="shared" si="1"/>
        <v>-0.23031516426956272</v>
      </c>
      <c r="BB14" s="192">
        <f t="shared" si="31"/>
        <v>-8.7878711074012124</v>
      </c>
    </row>
    <row r="15" spans="2:54">
      <c r="B15" s="105">
        <v>10</v>
      </c>
      <c r="C15" s="112">
        <f>IF($C$5&lt;&gt;"Memoria CNMC",$C$5,IF(B15&gt;'Tipología Clientes'!$C$16,'Tipología Clientes'!$L$16,IF(B15&gt;'Tipología Clientes'!$C$15,'Tipología Clientes'!$L$15,IF(B15&gt;'Tipología Clientes'!$C$14,'Tipología Clientes'!$L$14,IF(B15&gt;'Tipología Clientes'!$C$13,'Tipología Clientes'!$L$13,IF(B15&gt;'Tipología Clientes'!$C$12,'Tipología Clientes'!$L$12,IF(B15&gt;'Tipología Clientes'!$C$11,'Tipología Clientes'!$L$11,IF(B15&gt;'Tipología Clientes'!$C$10,'Tipología Clientes'!$L$10,IF(B15&gt;'Tipología Clientes'!$C$9,'Tipología Clientes'!$L$9,IF(B15&gt;'Tipología Clientes'!$C$8,'Tipología Clientes'!$L$8,IF(B15&gt;'Tipología Clientes'!$C$7,'Tipología Clientes'!$L$7,'Tipología Clientes'!$L$6)))))))))))</f>
        <v>0.37354729180664842</v>
      </c>
      <c r="D15" s="113">
        <f t="shared" si="2"/>
        <v>7.3343485215664958E-2</v>
      </c>
      <c r="E15" s="76" t="str">
        <f>IF(B15&gt;'Peajes Actuales'!$C$14,'Peajes Actuales'!$B$14,IF(B15&gt;'Peajes Actuales'!$C$13,'Peajes Actuales'!$B$13,IF(B15&gt;'Peajes Actuales'!$C$12,'Peajes Actuales'!$B$12,'Peajes Actuales'!$B$11)))</f>
        <v>3.2</v>
      </c>
      <c r="F15" s="88">
        <f>'Peajes Actuales'!$H$29</f>
        <v>19.612000000000002</v>
      </c>
      <c r="G15" s="88">
        <f>'Peajes Actuales'!$I$29</f>
        <v>0.11599999999999999</v>
      </c>
      <c r="H15" s="123">
        <f t="shared" si="3"/>
        <v>17.260949184595454</v>
      </c>
      <c r="I15" s="123">
        <f t="shared" si="4"/>
        <v>1.1599999999999999</v>
      </c>
      <c r="J15" s="122">
        <f t="shared" si="5"/>
        <v>18.420949184595454</v>
      </c>
      <c r="K15" s="89">
        <f>'Peajes Actuales'!$I$5</f>
        <v>10.848000000000001</v>
      </c>
      <c r="L15" s="122">
        <f t="shared" si="6"/>
        <v>9.5475615314344022</v>
      </c>
      <c r="M15" s="87">
        <f>VLOOKUP(E15,'Peajes Actuales'!$B$11:$J$14,8,FALSE)</f>
        <v>5.79</v>
      </c>
      <c r="N15" s="90">
        <f>VLOOKUP(E15,'Peajes Actuales'!$B$11:$J$14,9,FALSE)</f>
        <v>22.413</v>
      </c>
      <c r="O15" s="123">
        <f t="shared" si="7"/>
        <v>69.48</v>
      </c>
      <c r="P15" s="123">
        <f t="shared" si="8"/>
        <v>224.13</v>
      </c>
      <c r="Q15" s="122">
        <f t="shared" si="9"/>
        <v>293.61</v>
      </c>
      <c r="R15" s="124">
        <f t="shared" si="10"/>
        <v>321.57851071602988</v>
      </c>
      <c r="S15" s="79">
        <f t="shared" si="11"/>
        <v>32.157851071602991</v>
      </c>
      <c r="U15" s="76" t="str">
        <f>IF(B15&gt;'Peajes Circular CNMC'!$C$23,'Peajes Circular CNMC'!$B$23,IF(B15&gt;'Peajes Circular CNMC'!$C$22,'Peajes Circular CNMC'!$B$22,IF(B15&gt;'Peajes Circular CNMC'!$C$21,'Peajes Circular CNMC'!$B$21,IF(B15&gt;'Peajes Circular CNMC'!$C$20,'Peajes Circular CNMC'!$B$20,IF(B15&gt;'Peajes Circular CNMC'!$C$19,'Peajes Circular CNMC'!$B$19,IF(B15&gt;'Peajes Circular CNMC'!$C$18,'Peajes Circular CNMC'!$B$18,IF(B15&gt;'Peajes Circular CNMC'!$C$17,'Peajes Circular CNMC'!$B$17,IF(B15&gt;'Peajes Circular CNMC'!$C$16,'Peajes Circular CNMC'!$B$16,IF(B15&gt;'Peajes Circular CNMC'!$C$15,'Peajes Circular CNMC'!$B$15,IF(B15&gt;'Peajes Circular CNMC'!$C$14,'Peajes Circular CNMC'!$B$14,'Peajes Circular CNMC'!$B$13))))))))))</f>
        <v>D.2</v>
      </c>
      <c r="V15" s="96">
        <f>'Peajes Circular CNMC'!$H$30</f>
        <v>29.867609999999999</v>
      </c>
      <c r="W15" s="88">
        <f>'Peajes Circular CNMC'!$I$30</f>
        <v>0.15190999999999999</v>
      </c>
      <c r="X15" s="123">
        <f t="shared" si="12"/>
        <v>26.287135349546961</v>
      </c>
      <c r="Y15" s="123">
        <f t="shared" si="13"/>
        <v>1.5190999999999999</v>
      </c>
      <c r="Z15" s="122">
        <f t="shared" si="14"/>
        <v>27.806235349546959</v>
      </c>
      <c r="AA15" s="88">
        <f>'Peajes Circular CNMC'!$H$35</f>
        <v>0.26106499999999999</v>
      </c>
      <c r="AB15" s="122">
        <f t="shared" si="15"/>
        <v>2.6106499999999997</v>
      </c>
      <c r="AC15" s="97">
        <f>'Peajes Circular CNMC'!$J$6</f>
        <v>20.326666666666664</v>
      </c>
      <c r="AD15" s="97">
        <f>'Peajes Circular CNMC'!$J$7</f>
        <v>2.2599999999999999E-2</v>
      </c>
      <c r="AE15" s="123">
        <f t="shared" si="16"/>
        <v>17.889942913804994</v>
      </c>
      <c r="AF15" s="123">
        <f t="shared" si="17"/>
        <v>0.22599999999999998</v>
      </c>
      <c r="AG15" s="122">
        <f t="shared" si="18"/>
        <v>18.115942913804993</v>
      </c>
      <c r="AH15" s="97">
        <f>'Peajes Circular CNMC'!$K$6</f>
        <v>12.351666666666667</v>
      </c>
      <c r="AI15" s="97">
        <f>'Peajes Circular CNMC'!$K$7</f>
        <v>2.2599999999999999E-2</v>
      </c>
      <c r="AJ15" s="123">
        <f t="shared" si="19"/>
        <v>10.87097137866586</v>
      </c>
      <c r="AK15" s="123">
        <f t="shared" si="20"/>
        <v>0.22599999999999998</v>
      </c>
      <c r="AL15" s="122">
        <f t="shared" si="21"/>
        <v>11.096971378665859</v>
      </c>
      <c r="AM15" s="98">
        <f>VLOOKUP(U15,'Peajes Circular CNMC'!$B$13:$J$23,7,FALSE)</f>
        <v>0</v>
      </c>
      <c r="AN15" s="87">
        <f>VLOOKUP(U15,'Peajes Circular CNMC'!$B$13:$J$23,8,FALSE)</f>
        <v>2.6749999999999998</v>
      </c>
      <c r="AO15" s="87">
        <f>VLOOKUP(U15,'Peajes Circular CNMC'!$B$13:$J$23,9,FALSE)</f>
        <v>16.984999999999999</v>
      </c>
      <c r="AP15" s="123">
        <f t="shared" si="22"/>
        <v>0</v>
      </c>
      <c r="AQ15" s="123">
        <f t="shared" si="23"/>
        <v>32.099999999999994</v>
      </c>
      <c r="AR15" s="123">
        <f t="shared" si="24"/>
        <v>169.85</v>
      </c>
      <c r="AS15" s="122">
        <f t="shared" si="25"/>
        <v>201.95</v>
      </c>
      <c r="AT15" s="124">
        <f t="shared" si="26"/>
        <v>261.5797996420178</v>
      </c>
      <c r="AU15" s="79">
        <f t="shared" si="27"/>
        <v>26.157979964201779</v>
      </c>
      <c r="AW15" s="75">
        <f t="shared" si="28"/>
        <v>0.50948982437886348</v>
      </c>
      <c r="AX15" s="100">
        <f t="shared" si="29"/>
        <v>0.89744186032842443</v>
      </c>
      <c r="AY15" s="100">
        <f t="shared" si="30"/>
        <v>-0.27438789081207776</v>
      </c>
      <c r="AZ15" s="125">
        <f t="shared" si="0"/>
        <v>-59.998711074012078</v>
      </c>
      <c r="BA15" s="100">
        <f t="shared" si="1"/>
        <v>-0.18657562329155128</v>
      </c>
      <c r="BB15" s="192">
        <f t="shared" si="31"/>
        <v>-5.9998711074012121</v>
      </c>
    </row>
    <row r="16" spans="2:54">
      <c r="B16" s="105">
        <v>25</v>
      </c>
      <c r="C16" s="112">
        <f>IF($C$5&lt;&gt;"Memoria CNMC",$C$5,IF(B16&gt;'Tipología Clientes'!$C$16,'Tipología Clientes'!$L$16,IF(B16&gt;'Tipología Clientes'!$C$15,'Tipología Clientes'!$L$15,IF(B16&gt;'Tipología Clientes'!$C$14,'Tipología Clientes'!$L$14,IF(B16&gt;'Tipología Clientes'!$C$13,'Tipología Clientes'!$L$13,IF(B16&gt;'Tipología Clientes'!$C$12,'Tipología Clientes'!$L$12,IF(B16&gt;'Tipología Clientes'!$C$11,'Tipología Clientes'!$L$11,IF(B16&gt;'Tipología Clientes'!$C$10,'Tipología Clientes'!$L$10,IF(B16&gt;'Tipología Clientes'!$C$9,'Tipología Clientes'!$L$9,IF(B16&gt;'Tipología Clientes'!$C$8,'Tipología Clientes'!$L$8,IF(B16&gt;'Tipología Clientes'!$C$7,'Tipología Clientes'!$L$7,'Tipología Clientes'!$L$6)))))))))))</f>
        <v>0.36188925626159096</v>
      </c>
      <c r="D16" s="113">
        <f t="shared" si="2"/>
        <v>0.18926549904377751</v>
      </c>
      <c r="E16" s="76" t="str">
        <f>IF(B16&gt;'Peajes Actuales'!$C$14,'Peajes Actuales'!$B$14,IF(B16&gt;'Peajes Actuales'!$C$13,'Peajes Actuales'!$B$13,IF(B16&gt;'Peajes Actuales'!$C$12,'Peajes Actuales'!$B$12,'Peajes Actuales'!$B$11)))</f>
        <v>3.2</v>
      </c>
      <c r="F16" s="88">
        <f>'Peajes Actuales'!$H$29</f>
        <v>19.612000000000002</v>
      </c>
      <c r="G16" s="88">
        <f>'Peajes Actuales'!$I$29</f>
        <v>0.11599999999999999</v>
      </c>
      <c r="H16" s="123">
        <f t="shared" si="3"/>
        <v>44.542499606958778</v>
      </c>
      <c r="I16" s="123">
        <f t="shared" si="4"/>
        <v>2.9</v>
      </c>
      <c r="J16" s="122">
        <f t="shared" si="5"/>
        <v>47.442499606958776</v>
      </c>
      <c r="K16" s="89">
        <f>'Peajes Actuales'!$I$5</f>
        <v>10.848000000000001</v>
      </c>
      <c r="L16" s="122">
        <f t="shared" si="6"/>
        <v>24.637825603522785</v>
      </c>
      <c r="M16" s="87">
        <f>VLOOKUP(E16,'Peajes Actuales'!$B$11:$J$14,8,FALSE)</f>
        <v>5.79</v>
      </c>
      <c r="N16" s="90">
        <f>VLOOKUP(E16,'Peajes Actuales'!$B$11:$J$14,9,FALSE)</f>
        <v>22.413</v>
      </c>
      <c r="O16" s="123">
        <f t="shared" si="7"/>
        <v>69.48</v>
      </c>
      <c r="P16" s="123">
        <f t="shared" si="8"/>
        <v>560.32500000000005</v>
      </c>
      <c r="Q16" s="122">
        <f t="shared" si="9"/>
        <v>629.80500000000006</v>
      </c>
      <c r="R16" s="124">
        <f t="shared" si="10"/>
        <v>701.8853252104816</v>
      </c>
      <c r="S16" s="79">
        <f t="shared" si="11"/>
        <v>28.075413008419265</v>
      </c>
      <c r="U16" s="76" t="str">
        <f>IF(B16&gt;'Peajes Circular CNMC'!$C$23,'Peajes Circular CNMC'!$B$23,IF(B16&gt;'Peajes Circular CNMC'!$C$22,'Peajes Circular CNMC'!$B$22,IF(B16&gt;'Peajes Circular CNMC'!$C$21,'Peajes Circular CNMC'!$B$21,IF(B16&gt;'Peajes Circular CNMC'!$C$20,'Peajes Circular CNMC'!$B$20,IF(B16&gt;'Peajes Circular CNMC'!$C$19,'Peajes Circular CNMC'!$B$19,IF(B16&gt;'Peajes Circular CNMC'!$C$18,'Peajes Circular CNMC'!$B$18,IF(B16&gt;'Peajes Circular CNMC'!$C$17,'Peajes Circular CNMC'!$B$17,IF(B16&gt;'Peajes Circular CNMC'!$C$16,'Peajes Circular CNMC'!$B$16,IF(B16&gt;'Peajes Circular CNMC'!$C$15,'Peajes Circular CNMC'!$B$15,IF(B16&gt;'Peajes Circular CNMC'!$C$14,'Peajes Circular CNMC'!$B$14,'Peajes Circular CNMC'!$B$13))))))))))</f>
        <v>D.3</v>
      </c>
      <c r="V16" s="96">
        <f>'Peajes Circular CNMC'!$H$30</f>
        <v>29.867609999999999</v>
      </c>
      <c r="W16" s="88">
        <f>'Peajes Circular CNMC'!$I$30</f>
        <v>0.15190999999999999</v>
      </c>
      <c r="X16" s="123">
        <f t="shared" si="12"/>
        <v>67.83489734273904</v>
      </c>
      <c r="Y16" s="123">
        <f t="shared" si="13"/>
        <v>3.7977499999999997</v>
      </c>
      <c r="Z16" s="122">
        <f t="shared" si="14"/>
        <v>71.632647342739034</v>
      </c>
      <c r="AA16" s="88">
        <f>'Peajes Circular CNMC'!$H$35</f>
        <v>0.26106499999999999</v>
      </c>
      <c r="AB16" s="122">
        <f t="shared" si="15"/>
        <v>6.5266250000000001</v>
      </c>
      <c r="AC16" s="97">
        <f>'Peajes Circular CNMC'!$J$6</f>
        <v>20.326666666666664</v>
      </c>
      <c r="AD16" s="97">
        <f>'Peajes Circular CNMC'!$J$7</f>
        <v>2.2599999999999999E-2</v>
      </c>
      <c r="AE16" s="123">
        <f t="shared" si="16"/>
        <v>46.165640526758203</v>
      </c>
      <c r="AF16" s="123">
        <f t="shared" si="17"/>
        <v>0.56499999999999995</v>
      </c>
      <c r="AG16" s="122">
        <f t="shared" si="18"/>
        <v>46.730640526758201</v>
      </c>
      <c r="AH16" s="97">
        <f>'Peajes Circular CNMC'!$K$6</f>
        <v>12.351666666666667</v>
      </c>
      <c r="AI16" s="97">
        <f>'Peajes Circular CNMC'!$K$7</f>
        <v>2.2599999999999999E-2</v>
      </c>
      <c r="AJ16" s="123">
        <f t="shared" si="19"/>
        <v>28.052932268268702</v>
      </c>
      <c r="AK16" s="123">
        <f t="shared" si="20"/>
        <v>0.56499999999999995</v>
      </c>
      <c r="AL16" s="122">
        <f t="shared" si="21"/>
        <v>28.617932268268703</v>
      </c>
      <c r="AM16" s="98">
        <f>VLOOKUP(U16,'Peajes Circular CNMC'!$B$13:$J$23,7,FALSE)</f>
        <v>0</v>
      </c>
      <c r="AN16" s="87">
        <f>VLOOKUP(U16,'Peajes Circular CNMC'!$B$13:$J$23,8,FALSE)</f>
        <v>13.936999999999999</v>
      </c>
      <c r="AO16" s="87">
        <f>VLOOKUP(U16,'Peajes Circular CNMC'!$B$13:$J$23,9,FALSE)</f>
        <v>14.494</v>
      </c>
      <c r="AP16" s="123">
        <f t="shared" si="22"/>
        <v>0</v>
      </c>
      <c r="AQ16" s="123">
        <f t="shared" si="23"/>
        <v>167.244</v>
      </c>
      <c r="AR16" s="123">
        <f t="shared" si="24"/>
        <v>362.35</v>
      </c>
      <c r="AS16" s="122">
        <f t="shared" si="25"/>
        <v>529.59400000000005</v>
      </c>
      <c r="AT16" s="124">
        <f t="shared" si="26"/>
        <v>683.10184513776596</v>
      </c>
      <c r="AU16" s="79">
        <f t="shared" si="27"/>
        <v>27.32407380551064</v>
      </c>
      <c r="AW16" s="75">
        <f t="shared" si="28"/>
        <v>0.50988349973516345</v>
      </c>
      <c r="AX16" s="100">
        <f t="shared" si="29"/>
        <v>0.89670311328433638</v>
      </c>
      <c r="AY16" s="100">
        <f t="shared" si="30"/>
        <v>-0.11367497516172664</v>
      </c>
      <c r="AZ16" s="125">
        <f t="shared" si="0"/>
        <v>-18.783480072715633</v>
      </c>
      <c r="BA16" s="100">
        <f t="shared" si="1"/>
        <v>-2.6761465723881373E-2</v>
      </c>
      <c r="BB16" s="192">
        <f t="shared" si="31"/>
        <v>-0.75133920290862477</v>
      </c>
    </row>
    <row r="17" spans="2:54">
      <c r="B17" s="105">
        <v>50</v>
      </c>
      <c r="C17" s="112">
        <f>IF($C$5&lt;&gt;"Memoria CNMC",$C$5,IF(B17&gt;'Tipología Clientes'!$C$16,'Tipología Clientes'!$L$16,IF(B17&gt;'Tipología Clientes'!$C$15,'Tipología Clientes'!$L$15,IF(B17&gt;'Tipología Clientes'!$C$14,'Tipología Clientes'!$L$14,IF(B17&gt;'Tipología Clientes'!$C$13,'Tipología Clientes'!$L$13,IF(B17&gt;'Tipología Clientes'!$C$12,'Tipología Clientes'!$L$12,IF(B17&gt;'Tipología Clientes'!$C$11,'Tipología Clientes'!$L$11,IF(B17&gt;'Tipología Clientes'!$C$10,'Tipología Clientes'!$L$10,IF(B17&gt;'Tipología Clientes'!$C$9,'Tipología Clientes'!$L$9,IF(B17&gt;'Tipología Clientes'!$C$8,'Tipología Clientes'!$L$8,IF(B17&gt;'Tipología Clientes'!$C$7,'Tipología Clientes'!$L$7,'Tipología Clientes'!$L$6)))))))))))</f>
        <v>0.36188925626159096</v>
      </c>
      <c r="D17" s="113">
        <f t="shared" si="2"/>
        <v>0.37853099808755503</v>
      </c>
      <c r="E17" s="76" t="str">
        <f>IF(B17&gt;'Peajes Actuales'!$C$14,'Peajes Actuales'!$B$14,IF(B17&gt;'Peajes Actuales'!$C$13,'Peajes Actuales'!$B$13,IF(B17&gt;'Peajes Actuales'!$C$12,'Peajes Actuales'!$B$12,'Peajes Actuales'!$B$11)))</f>
        <v>3.2</v>
      </c>
      <c r="F17" s="88">
        <f>'Peajes Actuales'!$H$29</f>
        <v>19.612000000000002</v>
      </c>
      <c r="G17" s="88">
        <f>'Peajes Actuales'!$I$29</f>
        <v>0.11599999999999999</v>
      </c>
      <c r="H17" s="123">
        <f t="shared" si="3"/>
        <v>89.084999213917555</v>
      </c>
      <c r="I17" s="123">
        <f t="shared" si="4"/>
        <v>5.8</v>
      </c>
      <c r="J17" s="122">
        <f t="shared" si="5"/>
        <v>94.884999213917553</v>
      </c>
      <c r="K17" s="89">
        <f>'Peajes Actuales'!$I$5</f>
        <v>10.848000000000001</v>
      </c>
      <c r="L17" s="122">
        <f t="shared" si="6"/>
        <v>49.27565120704557</v>
      </c>
      <c r="M17" s="87">
        <f>VLOOKUP(E17,'Peajes Actuales'!$B$11:$J$14,8,FALSE)</f>
        <v>5.79</v>
      </c>
      <c r="N17" s="90">
        <f>VLOOKUP(E17,'Peajes Actuales'!$B$11:$J$14,9,FALSE)</f>
        <v>22.413</v>
      </c>
      <c r="O17" s="123">
        <f t="shared" si="7"/>
        <v>69.48</v>
      </c>
      <c r="P17" s="123">
        <f t="shared" si="8"/>
        <v>1120.6500000000001</v>
      </c>
      <c r="Q17" s="122">
        <f t="shared" si="9"/>
        <v>1190.1300000000001</v>
      </c>
      <c r="R17" s="124">
        <f t="shared" si="10"/>
        <v>1334.2906504209632</v>
      </c>
      <c r="S17" s="79">
        <f t="shared" si="11"/>
        <v>26.685813008419263</v>
      </c>
      <c r="U17" s="76" t="str">
        <f>IF(B17&gt;'Peajes Circular CNMC'!$C$23,'Peajes Circular CNMC'!$B$23,IF(B17&gt;'Peajes Circular CNMC'!$C$22,'Peajes Circular CNMC'!$B$22,IF(B17&gt;'Peajes Circular CNMC'!$C$21,'Peajes Circular CNMC'!$B$21,IF(B17&gt;'Peajes Circular CNMC'!$C$20,'Peajes Circular CNMC'!$B$20,IF(B17&gt;'Peajes Circular CNMC'!$C$19,'Peajes Circular CNMC'!$B$19,IF(B17&gt;'Peajes Circular CNMC'!$C$18,'Peajes Circular CNMC'!$B$18,IF(B17&gt;'Peajes Circular CNMC'!$C$17,'Peajes Circular CNMC'!$B$17,IF(B17&gt;'Peajes Circular CNMC'!$C$16,'Peajes Circular CNMC'!$B$16,IF(B17&gt;'Peajes Circular CNMC'!$C$15,'Peajes Circular CNMC'!$B$15,IF(B17&gt;'Peajes Circular CNMC'!$C$14,'Peajes Circular CNMC'!$B$14,'Peajes Circular CNMC'!$B$13))))))))))</f>
        <v>D.3</v>
      </c>
      <c r="V17" s="96">
        <f>'Peajes Circular CNMC'!$H$30</f>
        <v>29.867609999999999</v>
      </c>
      <c r="W17" s="88">
        <f>'Peajes Circular CNMC'!$I$30</f>
        <v>0.15190999999999999</v>
      </c>
      <c r="X17" s="123">
        <f t="shared" si="12"/>
        <v>135.66979468547808</v>
      </c>
      <c r="Y17" s="123">
        <f t="shared" si="13"/>
        <v>7.5954999999999995</v>
      </c>
      <c r="Z17" s="122">
        <f t="shared" si="14"/>
        <v>143.26529468547807</v>
      </c>
      <c r="AA17" s="88">
        <f>'Peajes Circular CNMC'!$H$35</f>
        <v>0.26106499999999999</v>
      </c>
      <c r="AB17" s="122">
        <f t="shared" si="15"/>
        <v>13.05325</v>
      </c>
      <c r="AC17" s="97">
        <f>'Peajes Circular CNMC'!$J$6</f>
        <v>20.326666666666664</v>
      </c>
      <c r="AD17" s="97">
        <f>'Peajes Circular CNMC'!$J$7</f>
        <v>2.2599999999999999E-2</v>
      </c>
      <c r="AE17" s="123">
        <f t="shared" si="16"/>
        <v>92.331281053516406</v>
      </c>
      <c r="AF17" s="123">
        <f t="shared" si="17"/>
        <v>1.1299999999999999</v>
      </c>
      <c r="AG17" s="122">
        <f t="shared" si="18"/>
        <v>93.461281053516402</v>
      </c>
      <c r="AH17" s="97">
        <f>'Peajes Circular CNMC'!$K$6</f>
        <v>12.351666666666667</v>
      </c>
      <c r="AI17" s="97">
        <f>'Peajes Circular CNMC'!$K$7</f>
        <v>2.2599999999999999E-2</v>
      </c>
      <c r="AJ17" s="123">
        <f t="shared" si="19"/>
        <v>56.105864536537403</v>
      </c>
      <c r="AK17" s="123">
        <f t="shared" si="20"/>
        <v>1.1299999999999999</v>
      </c>
      <c r="AL17" s="122">
        <f t="shared" si="21"/>
        <v>57.235864536537406</v>
      </c>
      <c r="AM17" s="98">
        <f>VLOOKUP(U17,'Peajes Circular CNMC'!$B$13:$J$23,7,FALSE)</f>
        <v>0</v>
      </c>
      <c r="AN17" s="87">
        <f>VLOOKUP(U17,'Peajes Circular CNMC'!$B$13:$J$23,8,FALSE)</f>
        <v>13.936999999999999</v>
      </c>
      <c r="AO17" s="87">
        <f>VLOOKUP(U17,'Peajes Circular CNMC'!$B$13:$J$23,9,FALSE)</f>
        <v>14.494</v>
      </c>
      <c r="AP17" s="123">
        <f t="shared" si="22"/>
        <v>0</v>
      </c>
      <c r="AQ17" s="123">
        <f t="shared" si="23"/>
        <v>167.244</v>
      </c>
      <c r="AR17" s="123">
        <f t="shared" si="24"/>
        <v>724.7</v>
      </c>
      <c r="AS17" s="122">
        <f t="shared" si="25"/>
        <v>891.94400000000007</v>
      </c>
      <c r="AT17" s="124">
        <f t="shared" si="26"/>
        <v>1198.959690275532</v>
      </c>
      <c r="AU17" s="79">
        <f t="shared" si="27"/>
        <v>23.97919380551064</v>
      </c>
      <c r="AW17" s="75">
        <f t="shared" si="28"/>
        <v>0.50988349973516345</v>
      </c>
      <c r="AX17" s="100">
        <f t="shared" si="29"/>
        <v>0.89670311328433638</v>
      </c>
      <c r="AY17" s="100">
        <f t="shared" si="30"/>
        <v>-0.20245698828150085</v>
      </c>
      <c r="AZ17" s="125">
        <f t="shared" si="0"/>
        <v>-135.33096014543116</v>
      </c>
      <c r="BA17" s="100">
        <f t="shared" si="1"/>
        <v>-0.1014253979091698</v>
      </c>
      <c r="BB17" s="192">
        <f t="shared" si="31"/>
        <v>-2.7066192029086231</v>
      </c>
    </row>
    <row r="18" spans="2:54">
      <c r="B18" s="105">
        <v>75</v>
      </c>
      <c r="C18" s="112">
        <f>IF($C$5&lt;&gt;"Memoria CNMC",$C$5,IF(B18&gt;'Tipología Clientes'!$C$16,'Tipología Clientes'!$L$16,IF(B18&gt;'Tipología Clientes'!$C$15,'Tipología Clientes'!$L$15,IF(B18&gt;'Tipología Clientes'!$C$14,'Tipología Clientes'!$L$14,IF(B18&gt;'Tipología Clientes'!$C$13,'Tipología Clientes'!$L$13,IF(B18&gt;'Tipología Clientes'!$C$12,'Tipología Clientes'!$L$12,IF(B18&gt;'Tipología Clientes'!$C$11,'Tipología Clientes'!$L$11,IF(B18&gt;'Tipología Clientes'!$C$10,'Tipología Clientes'!$L$10,IF(B18&gt;'Tipología Clientes'!$C$9,'Tipología Clientes'!$L$9,IF(B18&gt;'Tipología Clientes'!$C$8,'Tipología Clientes'!$L$8,IF(B18&gt;'Tipología Clientes'!$C$7,'Tipología Clientes'!$L$7,'Tipología Clientes'!$L$6)))))))))))</f>
        <v>0.43037532312486537</v>
      </c>
      <c r="D18" s="113">
        <f t="shared" si="2"/>
        <v>0.47744245781298777</v>
      </c>
      <c r="E18" s="76" t="str">
        <f>IF(B18&gt;'Peajes Actuales'!$C$14,'Peajes Actuales'!$B$14,IF(B18&gt;'Peajes Actuales'!$C$13,'Peajes Actuales'!$B$13,IF(B18&gt;'Peajes Actuales'!$C$12,'Peajes Actuales'!$B$12,'Peajes Actuales'!$B$11)))</f>
        <v>3.3</v>
      </c>
      <c r="F18" s="88">
        <f>'Peajes Actuales'!$H$29</f>
        <v>19.612000000000002</v>
      </c>
      <c r="G18" s="88">
        <f>'Peajes Actuales'!$I$29</f>
        <v>0.11599999999999999</v>
      </c>
      <c r="H18" s="123">
        <f t="shared" si="3"/>
        <v>112.3632177915398</v>
      </c>
      <c r="I18" s="123">
        <f t="shared" si="4"/>
        <v>8.6999999999999993</v>
      </c>
      <c r="J18" s="122">
        <f t="shared" si="5"/>
        <v>121.0632177915398</v>
      </c>
      <c r="K18" s="89">
        <f>'Peajes Actuales'!$I$5</f>
        <v>10.848000000000001</v>
      </c>
      <c r="L18" s="122">
        <f t="shared" si="6"/>
        <v>62.151549388263504</v>
      </c>
      <c r="M18" s="87">
        <f>VLOOKUP(E18,'Peajes Actuales'!$B$11:$J$14,8,FALSE)</f>
        <v>54.22</v>
      </c>
      <c r="N18" s="90">
        <f>VLOOKUP(E18,'Peajes Actuales'!$B$11:$J$14,9,FALSE)</f>
        <v>16.117000000000001</v>
      </c>
      <c r="O18" s="123">
        <f t="shared" si="7"/>
        <v>650.64</v>
      </c>
      <c r="P18" s="123">
        <f t="shared" si="8"/>
        <v>1208.7750000000001</v>
      </c>
      <c r="Q18" s="122">
        <f t="shared" si="9"/>
        <v>1859.415</v>
      </c>
      <c r="R18" s="124">
        <f t="shared" si="10"/>
        <v>2042.6297671798034</v>
      </c>
      <c r="S18" s="79">
        <f t="shared" si="11"/>
        <v>27.235063562397379</v>
      </c>
      <c r="U18" s="76" t="str">
        <f>IF(B18&gt;'Peajes Circular CNMC'!$C$23,'Peajes Circular CNMC'!$B$23,IF(B18&gt;'Peajes Circular CNMC'!$C$22,'Peajes Circular CNMC'!$B$22,IF(B18&gt;'Peajes Circular CNMC'!$C$21,'Peajes Circular CNMC'!$B$21,IF(B18&gt;'Peajes Circular CNMC'!$C$20,'Peajes Circular CNMC'!$B$20,IF(B18&gt;'Peajes Circular CNMC'!$C$19,'Peajes Circular CNMC'!$B$19,IF(B18&gt;'Peajes Circular CNMC'!$C$18,'Peajes Circular CNMC'!$B$18,IF(B18&gt;'Peajes Circular CNMC'!$C$17,'Peajes Circular CNMC'!$B$17,IF(B18&gt;'Peajes Circular CNMC'!$C$16,'Peajes Circular CNMC'!$B$16,IF(B18&gt;'Peajes Circular CNMC'!$C$15,'Peajes Circular CNMC'!$B$15,IF(B18&gt;'Peajes Circular CNMC'!$C$14,'Peajes Circular CNMC'!$B$14,'Peajes Circular CNMC'!$B$13))))))))))</f>
        <v>D.4</v>
      </c>
      <c r="V18" s="96">
        <f>'Peajes Circular CNMC'!$H$30</f>
        <v>29.867609999999999</v>
      </c>
      <c r="W18" s="88">
        <f>'Peajes Circular CNMC'!$I$30</f>
        <v>0.15190999999999999</v>
      </c>
      <c r="X18" s="123">
        <f t="shared" si="12"/>
        <v>171.12078152879727</v>
      </c>
      <c r="Y18" s="123">
        <f t="shared" si="13"/>
        <v>11.393249999999998</v>
      </c>
      <c r="Z18" s="122">
        <f t="shared" si="14"/>
        <v>182.51403152879726</v>
      </c>
      <c r="AA18" s="88">
        <f>'Peajes Circular CNMC'!$H$35</f>
        <v>0.26106499999999999</v>
      </c>
      <c r="AB18" s="122">
        <f t="shared" si="15"/>
        <v>19.579874999999998</v>
      </c>
      <c r="AC18" s="97">
        <f>'Peajes Circular CNMC'!$J$6</f>
        <v>20.326666666666664</v>
      </c>
      <c r="AD18" s="97">
        <f>'Peajes Circular CNMC'!$J$7</f>
        <v>2.2599999999999999E-2</v>
      </c>
      <c r="AE18" s="123">
        <f t="shared" si="16"/>
        <v>116.45776430974396</v>
      </c>
      <c r="AF18" s="123">
        <f t="shared" si="17"/>
        <v>1.6949999999999998</v>
      </c>
      <c r="AG18" s="122">
        <f t="shared" si="18"/>
        <v>118.15276430974396</v>
      </c>
      <c r="AH18" s="97">
        <f>'Peajes Circular CNMC'!$K$6</f>
        <v>12.351666666666667</v>
      </c>
      <c r="AI18" s="97">
        <f>'Peajes Circular CNMC'!$K$7</f>
        <v>2.2599999999999999E-2</v>
      </c>
      <c r="AJ18" s="123">
        <f t="shared" si="19"/>
        <v>70.76652109704105</v>
      </c>
      <c r="AK18" s="123">
        <f t="shared" si="20"/>
        <v>1.6949999999999998</v>
      </c>
      <c r="AL18" s="122">
        <f t="shared" si="21"/>
        <v>72.461521097041043</v>
      </c>
      <c r="AM18" s="98">
        <f>VLOOKUP(U18,'Peajes Circular CNMC'!$B$13:$J$23,7,FALSE)</f>
        <v>0</v>
      </c>
      <c r="AN18" s="87">
        <f>VLOOKUP(U18,'Peajes Circular CNMC'!$B$13:$J$23,8,FALSE)</f>
        <v>45.389000000000003</v>
      </c>
      <c r="AO18" s="87">
        <f>VLOOKUP(U18,'Peajes Circular CNMC'!$B$13:$J$23,9,FALSE)</f>
        <v>14.335000000000001</v>
      </c>
      <c r="AP18" s="123">
        <f t="shared" si="22"/>
        <v>0</v>
      </c>
      <c r="AQ18" s="123">
        <f t="shared" si="23"/>
        <v>544.66800000000001</v>
      </c>
      <c r="AR18" s="123">
        <f t="shared" si="24"/>
        <v>1075.125</v>
      </c>
      <c r="AS18" s="122">
        <f t="shared" si="25"/>
        <v>1619.7930000000001</v>
      </c>
      <c r="AT18" s="124">
        <f t="shared" si="26"/>
        <v>2012.5011919355825</v>
      </c>
      <c r="AU18" s="79">
        <f t="shared" si="27"/>
        <v>26.833349225807765</v>
      </c>
      <c r="AW18" s="75">
        <f t="shared" si="28"/>
        <v>0.50759276730171132</v>
      </c>
      <c r="AX18" s="100">
        <f t="shared" si="29"/>
        <v>0.90104294217410996</v>
      </c>
      <c r="AY18" s="100">
        <f t="shared" si="30"/>
        <v>-8.9899500059405169E-2</v>
      </c>
      <c r="AZ18" s="125">
        <f t="shared" si="0"/>
        <v>-30.128575244220883</v>
      </c>
      <c r="BA18" s="100">
        <f t="shared" si="1"/>
        <v>-1.4749895320393029E-2</v>
      </c>
      <c r="BB18" s="192">
        <f t="shared" si="31"/>
        <v>-0.4017143365896132</v>
      </c>
    </row>
    <row r="19" spans="2:54">
      <c r="B19" s="105">
        <v>100</v>
      </c>
      <c r="C19" s="112">
        <f>IF($C$5&lt;&gt;"Memoria CNMC",$C$5,IF(B19&gt;'Tipología Clientes'!$C$16,'Tipología Clientes'!$L$16,IF(B19&gt;'Tipología Clientes'!$C$15,'Tipología Clientes'!$L$15,IF(B19&gt;'Tipología Clientes'!$C$14,'Tipología Clientes'!$L$14,IF(B19&gt;'Tipología Clientes'!$C$13,'Tipología Clientes'!$L$13,IF(B19&gt;'Tipología Clientes'!$C$12,'Tipología Clientes'!$L$12,IF(B19&gt;'Tipología Clientes'!$C$11,'Tipología Clientes'!$L$11,IF(B19&gt;'Tipología Clientes'!$C$10,'Tipología Clientes'!$L$10,IF(B19&gt;'Tipología Clientes'!$C$9,'Tipología Clientes'!$L$9,IF(B19&gt;'Tipología Clientes'!$C$8,'Tipología Clientes'!$L$8,IF(B19&gt;'Tipología Clientes'!$C$7,'Tipología Clientes'!$L$7,'Tipología Clientes'!$L$6)))))))))))</f>
        <v>0.43037532312486537</v>
      </c>
      <c r="D19" s="113">
        <f t="shared" si="2"/>
        <v>0.63658994375065037</v>
      </c>
      <c r="E19" s="76" t="str">
        <f>IF(B19&gt;'Peajes Actuales'!$C$14,'Peajes Actuales'!$B$14,IF(B19&gt;'Peajes Actuales'!$C$13,'Peajes Actuales'!$B$13,IF(B19&gt;'Peajes Actuales'!$C$12,'Peajes Actuales'!$B$12,'Peajes Actuales'!$B$11)))</f>
        <v>3.3</v>
      </c>
      <c r="F19" s="88">
        <f>'Peajes Actuales'!$H$29</f>
        <v>19.612000000000002</v>
      </c>
      <c r="G19" s="88">
        <f>'Peajes Actuales'!$I$29</f>
        <v>0.11599999999999999</v>
      </c>
      <c r="H19" s="123">
        <f t="shared" si="3"/>
        <v>149.81762372205307</v>
      </c>
      <c r="I19" s="123">
        <f t="shared" si="4"/>
        <v>11.6</v>
      </c>
      <c r="J19" s="122">
        <f t="shared" si="5"/>
        <v>161.41762372205307</v>
      </c>
      <c r="K19" s="89">
        <f>'Peajes Actuales'!$I$5</f>
        <v>10.848000000000001</v>
      </c>
      <c r="L19" s="122">
        <f t="shared" si="6"/>
        <v>82.868732517684677</v>
      </c>
      <c r="M19" s="87">
        <f>VLOOKUP(E19,'Peajes Actuales'!$B$11:$J$14,8,FALSE)</f>
        <v>54.22</v>
      </c>
      <c r="N19" s="90">
        <f>VLOOKUP(E19,'Peajes Actuales'!$B$11:$J$14,9,FALSE)</f>
        <v>16.117000000000001</v>
      </c>
      <c r="O19" s="123">
        <f t="shared" si="7"/>
        <v>650.64</v>
      </c>
      <c r="P19" s="123">
        <f t="shared" si="8"/>
        <v>1611.7</v>
      </c>
      <c r="Q19" s="122">
        <f t="shared" si="9"/>
        <v>2262.34</v>
      </c>
      <c r="R19" s="124">
        <f t="shared" si="10"/>
        <v>2506.626356239738</v>
      </c>
      <c r="S19" s="79">
        <f t="shared" si="11"/>
        <v>25.066263562397381</v>
      </c>
      <c r="U19" s="76" t="str">
        <f>IF(B19&gt;'Peajes Circular CNMC'!$C$23,'Peajes Circular CNMC'!$B$23,IF(B19&gt;'Peajes Circular CNMC'!$C$22,'Peajes Circular CNMC'!$B$22,IF(B19&gt;'Peajes Circular CNMC'!$C$21,'Peajes Circular CNMC'!$B$21,IF(B19&gt;'Peajes Circular CNMC'!$C$20,'Peajes Circular CNMC'!$B$20,IF(B19&gt;'Peajes Circular CNMC'!$C$19,'Peajes Circular CNMC'!$B$19,IF(B19&gt;'Peajes Circular CNMC'!$C$18,'Peajes Circular CNMC'!$B$18,IF(B19&gt;'Peajes Circular CNMC'!$C$17,'Peajes Circular CNMC'!$B$17,IF(B19&gt;'Peajes Circular CNMC'!$C$16,'Peajes Circular CNMC'!$B$16,IF(B19&gt;'Peajes Circular CNMC'!$C$15,'Peajes Circular CNMC'!$B$15,IF(B19&gt;'Peajes Circular CNMC'!$C$14,'Peajes Circular CNMC'!$B$14,'Peajes Circular CNMC'!$B$13))))))))))</f>
        <v>D.4</v>
      </c>
      <c r="V19" s="96">
        <f>'Peajes Circular CNMC'!$H$30</f>
        <v>29.867609999999999</v>
      </c>
      <c r="W19" s="88">
        <f>'Peajes Circular CNMC'!$I$30</f>
        <v>0.15190999999999999</v>
      </c>
      <c r="X19" s="123">
        <f t="shared" si="12"/>
        <v>228.16104203839635</v>
      </c>
      <c r="Y19" s="123">
        <f t="shared" si="13"/>
        <v>15.190999999999999</v>
      </c>
      <c r="Z19" s="122">
        <f t="shared" si="14"/>
        <v>243.35204203839635</v>
      </c>
      <c r="AA19" s="88">
        <f>'Peajes Circular CNMC'!$H$35</f>
        <v>0.26106499999999999</v>
      </c>
      <c r="AB19" s="122">
        <f t="shared" si="15"/>
        <v>26.1065</v>
      </c>
      <c r="AC19" s="97">
        <f>'Peajes Circular CNMC'!$J$6</f>
        <v>20.326666666666664</v>
      </c>
      <c r="AD19" s="97">
        <f>'Peajes Circular CNMC'!$J$7</f>
        <v>2.2599999999999999E-2</v>
      </c>
      <c r="AE19" s="123">
        <f t="shared" si="16"/>
        <v>155.2770190796586</v>
      </c>
      <c r="AF19" s="123">
        <f t="shared" si="17"/>
        <v>2.2599999999999998</v>
      </c>
      <c r="AG19" s="122">
        <f t="shared" si="18"/>
        <v>157.53701907965859</v>
      </c>
      <c r="AH19" s="97">
        <f>'Peajes Circular CNMC'!$K$6</f>
        <v>12.351666666666667</v>
      </c>
      <c r="AI19" s="97">
        <f>'Peajes Circular CNMC'!$K$7</f>
        <v>2.2599999999999999E-2</v>
      </c>
      <c r="AJ19" s="123">
        <f t="shared" si="19"/>
        <v>94.35536146272139</v>
      </c>
      <c r="AK19" s="123">
        <f t="shared" si="20"/>
        <v>2.2599999999999998</v>
      </c>
      <c r="AL19" s="122">
        <f t="shared" si="21"/>
        <v>96.615361462721395</v>
      </c>
      <c r="AM19" s="98">
        <f>VLOOKUP(U19,'Peajes Circular CNMC'!$B$13:$J$23,7,FALSE)</f>
        <v>0</v>
      </c>
      <c r="AN19" s="87">
        <f>VLOOKUP(U19,'Peajes Circular CNMC'!$B$13:$J$23,8,FALSE)</f>
        <v>45.389000000000003</v>
      </c>
      <c r="AO19" s="87">
        <f>VLOOKUP(U19,'Peajes Circular CNMC'!$B$13:$J$23,9,FALSE)</f>
        <v>14.335000000000001</v>
      </c>
      <c r="AP19" s="123">
        <f t="shared" si="22"/>
        <v>0</v>
      </c>
      <c r="AQ19" s="123">
        <f t="shared" si="23"/>
        <v>544.66800000000001</v>
      </c>
      <c r="AR19" s="123">
        <f t="shared" si="24"/>
        <v>1433.5</v>
      </c>
      <c r="AS19" s="122">
        <f t="shared" si="25"/>
        <v>1978.1680000000001</v>
      </c>
      <c r="AT19" s="124">
        <f t="shared" si="26"/>
        <v>2501.7789225807765</v>
      </c>
      <c r="AU19" s="79">
        <f t="shared" si="27"/>
        <v>25.017789225807764</v>
      </c>
      <c r="AW19" s="75">
        <f t="shared" si="28"/>
        <v>0.50759276730171132</v>
      </c>
      <c r="AX19" s="100">
        <f t="shared" si="29"/>
        <v>0.90104294217410963</v>
      </c>
      <c r="AY19" s="100">
        <f t="shared" si="30"/>
        <v>-8.2903824596337661E-2</v>
      </c>
      <c r="AZ19" s="125">
        <f t="shared" si="0"/>
        <v>-4.8474336589615632</v>
      </c>
      <c r="BA19" s="100">
        <f t="shared" si="1"/>
        <v>-1.9338477180274036E-3</v>
      </c>
      <c r="BB19" s="192">
        <f t="shared" si="31"/>
        <v>-4.8474336589617195E-2</v>
      </c>
    </row>
    <row r="20" spans="2:54">
      <c r="B20" s="105">
        <v>150</v>
      </c>
      <c r="C20" s="112">
        <f>IF($C$5&lt;&gt;"Memoria CNMC",$C$5,IF(B20&gt;'Tipología Clientes'!$C$16,'Tipología Clientes'!$L$16,IF(B20&gt;'Tipología Clientes'!$C$15,'Tipología Clientes'!$L$15,IF(B20&gt;'Tipología Clientes'!$C$14,'Tipología Clientes'!$L$14,IF(B20&gt;'Tipología Clientes'!$C$13,'Tipología Clientes'!$L$13,IF(B20&gt;'Tipología Clientes'!$C$12,'Tipología Clientes'!$L$12,IF(B20&gt;'Tipología Clientes'!$C$11,'Tipología Clientes'!$L$11,IF(B20&gt;'Tipología Clientes'!$C$10,'Tipología Clientes'!$L$10,IF(B20&gt;'Tipología Clientes'!$C$9,'Tipología Clientes'!$L$9,IF(B20&gt;'Tipología Clientes'!$C$8,'Tipología Clientes'!$L$8,IF(B20&gt;'Tipología Clientes'!$C$7,'Tipología Clientes'!$L$7,'Tipología Clientes'!$L$6)))))))))))</f>
        <v>0.43037532312486537</v>
      </c>
      <c r="D20" s="113">
        <f t="shared" si="2"/>
        <v>0.95488491562597555</v>
      </c>
      <c r="E20" s="76" t="str">
        <f>IF(B20&gt;'Peajes Actuales'!$C$14,'Peajes Actuales'!$B$14,IF(B20&gt;'Peajes Actuales'!$C$13,'Peajes Actuales'!$B$13,IF(B20&gt;'Peajes Actuales'!$C$12,'Peajes Actuales'!$B$12,'Peajes Actuales'!$B$11)))</f>
        <v>3.4</v>
      </c>
      <c r="F20" s="88">
        <f>'Peajes Actuales'!$H$29</f>
        <v>19.612000000000002</v>
      </c>
      <c r="G20" s="88">
        <f>'Peajes Actuales'!$I$29</f>
        <v>0.11599999999999999</v>
      </c>
      <c r="H20" s="123">
        <f t="shared" si="3"/>
        <v>224.72643558307959</v>
      </c>
      <c r="I20" s="123">
        <f t="shared" si="4"/>
        <v>17.399999999999999</v>
      </c>
      <c r="J20" s="122">
        <f t="shared" si="5"/>
        <v>242.1264355830796</v>
      </c>
      <c r="K20" s="89">
        <f>'Peajes Actuales'!$I$5</f>
        <v>10.848000000000001</v>
      </c>
      <c r="L20" s="122">
        <f t="shared" si="6"/>
        <v>124.30309877652701</v>
      </c>
      <c r="M20" s="87">
        <f>VLOOKUP(E20,'Peajes Actuales'!$B$11:$J$14,8,FALSE)</f>
        <v>80.97</v>
      </c>
      <c r="N20" s="90">
        <f>VLOOKUP(E20,'Peajes Actuales'!$B$11:$J$14,9,FALSE)</f>
        <v>13.012</v>
      </c>
      <c r="O20" s="123">
        <f t="shared" si="7"/>
        <v>971.64</v>
      </c>
      <c r="P20" s="123">
        <f t="shared" si="8"/>
        <v>1951.8000000000002</v>
      </c>
      <c r="Q20" s="122">
        <f t="shared" si="9"/>
        <v>2923.44</v>
      </c>
      <c r="R20" s="124">
        <f t="shared" si="10"/>
        <v>3289.8695343596064</v>
      </c>
      <c r="S20" s="79">
        <f t="shared" si="11"/>
        <v>21.932463562397377</v>
      </c>
      <c r="U20" s="76" t="str">
        <f>IF(B20&gt;'Peajes Circular CNMC'!$C$23,'Peajes Circular CNMC'!$B$23,IF(B20&gt;'Peajes Circular CNMC'!$C$22,'Peajes Circular CNMC'!$B$22,IF(B20&gt;'Peajes Circular CNMC'!$C$21,'Peajes Circular CNMC'!$B$21,IF(B20&gt;'Peajes Circular CNMC'!$C$20,'Peajes Circular CNMC'!$B$20,IF(B20&gt;'Peajes Circular CNMC'!$C$19,'Peajes Circular CNMC'!$B$19,IF(B20&gt;'Peajes Circular CNMC'!$C$18,'Peajes Circular CNMC'!$B$18,IF(B20&gt;'Peajes Circular CNMC'!$C$17,'Peajes Circular CNMC'!$B$17,IF(B20&gt;'Peajes Circular CNMC'!$C$16,'Peajes Circular CNMC'!$B$16,IF(B20&gt;'Peajes Circular CNMC'!$C$15,'Peajes Circular CNMC'!$B$15,IF(B20&gt;'Peajes Circular CNMC'!$C$14,'Peajes Circular CNMC'!$B$14,'Peajes Circular CNMC'!$B$13))))))))))</f>
        <v>D.4</v>
      </c>
      <c r="V20" s="96">
        <f>'Peajes Circular CNMC'!$H$30</f>
        <v>29.867609999999999</v>
      </c>
      <c r="W20" s="88">
        <f>'Peajes Circular CNMC'!$I$30</f>
        <v>0.15190999999999999</v>
      </c>
      <c r="X20" s="123">
        <f t="shared" si="12"/>
        <v>342.24156305759453</v>
      </c>
      <c r="Y20" s="123">
        <f t="shared" si="13"/>
        <v>22.786499999999997</v>
      </c>
      <c r="Z20" s="122">
        <f t="shared" si="14"/>
        <v>365.02806305759452</v>
      </c>
      <c r="AA20" s="88">
        <f>'Peajes Circular CNMC'!$H$35</f>
        <v>0.26106499999999999</v>
      </c>
      <c r="AB20" s="122">
        <f t="shared" si="15"/>
        <v>39.159749999999995</v>
      </c>
      <c r="AC20" s="97">
        <f>'Peajes Circular CNMC'!$J$6</f>
        <v>20.326666666666664</v>
      </c>
      <c r="AD20" s="97">
        <f>'Peajes Circular CNMC'!$J$7</f>
        <v>2.2599999999999999E-2</v>
      </c>
      <c r="AE20" s="123">
        <f t="shared" si="16"/>
        <v>232.91552861948793</v>
      </c>
      <c r="AF20" s="123">
        <f t="shared" si="17"/>
        <v>3.3899999999999997</v>
      </c>
      <c r="AG20" s="122">
        <f t="shared" si="18"/>
        <v>236.30552861948792</v>
      </c>
      <c r="AH20" s="97">
        <f>'Peajes Circular CNMC'!$K$6</f>
        <v>12.351666666666667</v>
      </c>
      <c r="AI20" s="97">
        <f>'Peajes Circular CNMC'!$K$7</f>
        <v>2.2599999999999999E-2</v>
      </c>
      <c r="AJ20" s="123">
        <f t="shared" si="19"/>
        <v>141.5330421940821</v>
      </c>
      <c r="AK20" s="123">
        <f t="shared" si="20"/>
        <v>3.3899999999999997</v>
      </c>
      <c r="AL20" s="122">
        <f t="shared" si="21"/>
        <v>144.92304219408209</v>
      </c>
      <c r="AM20" s="98">
        <f>VLOOKUP(U20,'Peajes Circular CNMC'!$B$13:$J$23,7,FALSE)</f>
        <v>0</v>
      </c>
      <c r="AN20" s="87">
        <f>VLOOKUP(U20,'Peajes Circular CNMC'!$B$13:$J$23,8,FALSE)</f>
        <v>45.389000000000003</v>
      </c>
      <c r="AO20" s="87">
        <f>VLOOKUP(U20,'Peajes Circular CNMC'!$B$13:$J$23,9,FALSE)</f>
        <v>14.335000000000001</v>
      </c>
      <c r="AP20" s="123">
        <f t="shared" si="22"/>
        <v>0</v>
      </c>
      <c r="AQ20" s="123">
        <f t="shared" si="23"/>
        <v>544.66800000000001</v>
      </c>
      <c r="AR20" s="123">
        <f t="shared" si="24"/>
        <v>2150.25</v>
      </c>
      <c r="AS20" s="122">
        <f t="shared" si="25"/>
        <v>2694.9180000000001</v>
      </c>
      <c r="AT20" s="124">
        <f t="shared" si="26"/>
        <v>3480.3343838711644</v>
      </c>
      <c r="AU20" s="79">
        <f t="shared" si="27"/>
        <v>23.202229225807763</v>
      </c>
      <c r="AW20" s="75">
        <f t="shared" si="28"/>
        <v>0.50759276730171132</v>
      </c>
      <c r="AX20" s="100">
        <f t="shared" si="29"/>
        <v>0.90104294217410996</v>
      </c>
      <c r="AY20" s="100">
        <f t="shared" si="30"/>
        <v>-2.8596091524340488E-2</v>
      </c>
      <c r="AZ20" s="125">
        <f t="shared" si="0"/>
        <v>190.46484951155799</v>
      </c>
      <c r="BA20" s="100">
        <f t="shared" si="1"/>
        <v>5.7894347335762403E-2</v>
      </c>
      <c r="BB20" s="192">
        <f t="shared" si="31"/>
        <v>1.2697656634103858</v>
      </c>
    </row>
    <row r="21" spans="2:54">
      <c r="B21" s="105">
        <v>250</v>
      </c>
      <c r="C21" s="112">
        <f>IF($C$5&lt;&gt;"Memoria CNMC",$C$5,IF(B21&gt;'Tipología Clientes'!$C$16,'Tipología Clientes'!$L$16,IF(B21&gt;'Tipología Clientes'!$C$15,'Tipología Clientes'!$L$15,IF(B21&gt;'Tipología Clientes'!$C$14,'Tipología Clientes'!$L$14,IF(B21&gt;'Tipología Clientes'!$C$13,'Tipología Clientes'!$L$13,IF(B21&gt;'Tipología Clientes'!$C$12,'Tipología Clientes'!$L$12,IF(B21&gt;'Tipología Clientes'!$C$11,'Tipología Clientes'!$L$11,IF(B21&gt;'Tipología Clientes'!$C$10,'Tipología Clientes'!$L$10,IF(B21&gt;'Tipología Clientes'!$C$9,'Tipología Clientes'!$L$9,IF(B21&gt;'Tipología Clientes'!$C$8,'Tipología Clientes'!$L$8,IF(B21&gt;'Tipología Clientes'!$C$7,'Tipología Clientes'!$L$7,'Tipología Clientes'!$L$6)))))))))))</f>
        <v>0.43037532312486537</v>
      </c>
      <c r="D21" s="113">
        <f t="shared" si="2"/>
        <v>1.5914748593766259</v>
      </c>
      <c r="E21" s="76" t="str">
        <f>IF(B21&gt;'Peajes Actuales'!$C$14,'Peajes Actuales'!$B$14,IF(B21&gt;'Peajes Actuales'!$C$13,'Peajes Actuales'!$B$13,IF(B21&gt;'Peajes Actuales'!$C$12,'Peajes Actuales'!$B$12,'Peajes Actuales'!$B$11)))</f>
        <v>3.4</v>
      </c>
      <c r="F21" s="88">
        <f>'Peajes Actuales'!$H$29</f>
        <v>19.612000000000002</v>
      </c>
      <c r="G21" s="88">
        <f>'Peajes Actuales'!$I$29</f>
        <v>0.11599999999999999</v>
      </c>
      <c r="H21" s="123">
        <f t="shared" si="3"/>
        <v>374.54405930513269</v>
      </c>
      <c r="I21" s="123">
        <f t="shared" si="4"/>
        <v>28.999999999999996</v>
      </c>
      <c r="J21" s="122">
        <f t="shared" si="5"/>
        <v>403.54405930513269</v>
      </c>
      <c r="K21" s="89">
        <f>'Peajes Actuales'!$I$5</f>
        <v>10.848000000000001</v>
      </c>
      <c r="L21" s="122">
        <f t="shared" si="6"/>
        <v>207.17183129421167</v>
      </c>
      <c r="M21" s="87">
        <f>VLOOKUP(E21,'Peajes Actuales'!$B$11:$J$14,8,FALSE)</f>
        <v>80.97</v>
      </c>
      <c r="N21" s="90">
        <f>VLOOKUP(E21,'Peajes Actuales'!$B$11:$J$14,9,FALSE)</f>
        <v>13.012</v>
      </c>
      <c r="O21" s="123">
        <f t="shared" si="7"/>
        <v>971.64</v>
      </c>
      <c r="P21" s="123">
        <f t="shared" si="8"/>
        <v>3253</v>
      </c>
      <c r="Q21" s="122">
        <f t="shared" si="9"/>
        <v>4224.6400000000003</v>
      </c>
      <c r="R21" s="124">
        <f t="shared" si="10"/>
        <v>4835.355890599345</v>
      </c>
      <c r="S21" s="79">
        <f t="shared" si="11"/>
        <v>19.341423562397381</v>
      </c>
      <c r="U21" s="76" t="str">
        <f>IF(B21&gt;'Peajes Circular CNMC'!$C$23,'Peajes Circular CNMC'!$B$23,IF(B21&gt;'Peajes Circular CNMC'!$C$22,'Peajes Circular CNMC'!$B$22,IF(B21&gt;'Peajes Circular CNMC'!$C$21,'Peajes Circular CNMC'!$B$21,IF(B21&gt;'Peajes Circular CNMC'!$C$20,'Peajes Circular CNMC'!$B$20,IF(B21&gt;'Peajes Circular CNMC'!$C$19,'Peajes Circular CNMC'!$B$19,IF(B21&gt;'Peajes Circular CNMC'!$C$18,'Peajes Circular CNMC'!$B$18,IF(B21&gt;'Peajes Circular CNMC'!$C$17,'Peajes Circular CNMC'!$B$17,IF(B21&gt;'Peajes Circular CNMC'!$C$16,'Peajes Circular CNMC'!$B$16,IF(B21&gt;'Peajes Circular CNMC'!$C$15,'Peajes Circular CNMC'!$B$15,IF(B21&gt;'Peajes Circular CNMC'!$C$14,'Peajes Circular CNMC'!$B$14,'Peajes Circular CNMC'!$B$13))))))))))</f>
        <v>D.4</v>
      </c>
      <c r="V21" s="96">
        <f>'Peajes Circular CNMC'!$H$30</f>
        <v>29.867609999999999</v>
      </c>
      <c r="W21" s="88">
        <f>'Peajes Circular CNMC'!$I$30</f>
        <v>0.15190999999999999</v>
      </c>
      <c r="X21" s="123">
        <f t="shared" si="12"/>
        <v>570.40260509599091</v>
      </c>
      <c r="Y21" s="123">
        <f t="shared" si="13"/>
        <v>37.977499999999999</v>
      </c>
      <c r="Z21" s="122">
        <f t="shared" si="14"/>
        <v>608.38010509599087</v>
      </c>
      <c r="AA21" s="88">
        <f>'Peajes Circular CNMC'!$H$35</f>
        <v>0.26106499999999999</v>
      </c>
      <c r="AB21" s="122">
        <f t="shared" si="15"/>
        <v>65.266249999999999</v>
      </c>
      <c r="AC21" s="97">
        <f>'Peajes Circular CNMC'!$J$6</f>
        <v>20.326666666666664</v>
      </c>
      <c r="AD21" s="97">
        <f>'Peajes Circular CNMC'!$J$7</f>
        <v>2.2599999999999999E-2</v>
      </c>
      <c r="AE21" s="123">
        <f t="shared" si="16"/>
        <v>388.19254769914653</v>
      </c>
      <c r="AF21" s="123">
        <f t="shared" si="17"/>
        <v>5.6499999999999995</v>
      </c>
      <c r="AG21" s="122">
        <f t="shared" si="18"/>
        <v>393.84254769914651</v>
      </c>
      <c r="AH21" s="97">
        <f>'Peajes Circular CNMC'!$K$6</f>
        <v>12.351666666666667</v>
      </c>
      <c r="AI21" s="97">
        <f>'Peajes Circular CNMC'!$K$7</f>
        <v>2.2599999999999999E-2</v>
      </c>
      <c r="AJ21" s="123">
        <f t="shared" si="19"/>
        <v>235.88840365680349</v>
      </c>
      <c r="AK21" s="123">
        <f t="shared" si="20"/>
        <v>5.6499999999999995</v>
      </c>
      <c r="AL21" s="122">
        <f t="shared" si="21"/>
        <v>241.5384036568035</v>
      </c>
      <c r="AM21" s="98">
        <f>VLOOKUP(U21,'Peajes Circular CNMC'!$B$13:$J$23,7,FALSE)</f>
        <v>0</v>
      </c>
      <c r="AN21" s="87">
        <f>VLOOKUP(U21,'Peajes Circular CNMC'!$B$13:$J$23,8,FALSE)</f>
        <v>45.389000000000003</v>
      </c>
      <c r="AO21" s="87">
        <f>VLOOKUP(U21,'Peajes Circular CNMC'!$B$13:$J$23,9,FALSE)</f>
        <v>14.335000000000001</v>
      </c>
      <c r="AP21" s="123">
        <f t="shared" si="22"/>
        <v>0</v>
      </c>
      <c r="AQ21" s="123">
        <f t="shared" si="23"/>
        <v>544.66800000000001</v>
      </c>
      <c r="AR21" s="123">
        <f t="shared" si="24"/>
        <v>3583.75</v>
      </c>
      <c r="AS21" s="122">
        <f t="shared" si="25"/>
        <v>4128.4179999999997</v>
      </c>
      <c r="AT21" s="124">
        <f t="shared" si="26"/>
        <v>5437.4453064519403</v>
      </c>
      <c r="AU21" s="79">
        <f t="shared" si="27"/>
        <v>21.749781225807762</v>
      </c>
      <c r="AW21" s="75">
        <f t="shared" si="28"/>
        <v>0.50759276730171121</v>
      </c>
      <c r="AX21" s="100">
        <f t="shared" si="29"/>
        <v>0.90104294217410996</v>
      </c>
      <c r="AY21" s="100">
        <f t="shared" si="30"/>
        <v>3.4397345964816702E-2</v>
      </c>
      <c r="AZ21" s="125">
        <f t="shared" si="0"/>
        <v>602.08941585259527</v>
      </c>
      <c r="BA21" s="100">
        <f t="shared" si="1"/>
        <v>0.12451811810236081</v>
      </c>
      <c r="BB21" s="192">
        <f t="shared" si="31"/>
        <v>2.4083576634103814</v>
      </c>
    </row>
    <row r="22" spans="2:54">
      <c r="B22" s="105">
        <v>500</v>
      </c>
      <c r="C22" s="112">
        <f>IF($C$5&lt;&gt;"Memoria CNMC",$C$5,IF(B22&gt;'Tipología Clientes'!$C$16,'Tipología Clientes'!$L$16,IF(B22&gt;'Tipología Clientes'!$C$15,'Tipología Clientes'!$L$15,IF(B22&gt;'Tipología Clientes'!$C$14,'Tipología Clientes'!$L$14,IF(B22&gt;'Tipología Clientes'!$C$13,'Tipología Clientes'!$L$13,IF(B22&gt;'Tipología Clientes'!$C$12,'Tipología Clientes'!$L$12,IF(B22&gt;'Tipología Clientes'!$C$11,'Tipología Clientes'!$L$11,IF(B22&gt;'Tipología Clientes'!$C$10,'Tipología Clientes'!$L$10,IF(B22&gt;'Tipología Clientes'!$C$9,'Tipología Clientes'!$L$9,IF(B22&gt;'Tipología Clientes'!$C$8,'Tipología Clientes'!$L$8,IF(B22&gt;'Tipología Clientes'!$C$7,'Tipología Clientes'!$L$7,'Tipología Clientes'!$L$6)))))))))))</f>
        <v>0.41959262584789264</v>
      </c>
      <c r="D22" s="113">
        <f t="shared" si="2"/>
        <v>3.264745205973238</v>
      </c>
      <c r="E22" s="76" t="str">
        <f>IF(B22&gt;'Peajes Actuales'!$C$14,'Peajes Actuales'!$B$14,IF(B22&gt;'Peajes Actuales'!$C$13,'Peajes Actuales'!$B$13,IF(B22&gt;'Peajes Actuales'!$C$12,'Peajes Actuales'!$B$12,'Peajes Actuales'!$B$11)))</f>
        <v>3.4</v>
      </c>
      <c r="F22" s="88">
        <f>'Peajes Actuales'!$H$29</f>
        <v>19.612000000000002</v>
      </c>
      <c r="G22" s="88">
        <f>'Peajes Actuales'!$I$29</f>
        <v>0.11599999999999999</v>
      </c>
      <c r="H22" s="123">
        <f t="shared" si="3"/>
        <v>768.33819575456585</v>
      </c>
      <c r="I22" s="123">
        <f t="shared" si="4"/>
        <v>57.999999999999993</v>
      </c>
      <c r="J22" s="122">
        <f t="shared" si="5"/>
        <v>826.33819575456585</v>
      </c>
      <c r="K22" s="89">
        <f>'Peajes Actuales'!$I$5</f>
        <v>10.848000000000001</v>
      </c>
      <c r="L22" s="122">
        <f t="shared" si="6"/>
        <v>424.9914719327723</v>
      </c>
      <c r="M22" s="87">
        <f>VLOOKUP(E22,'Peajes Actuales'!$B$11:$J$14,8,FALSE)</f>
        <v>80.97</v>
      </c>
      <c r="N22" s="90">
        <f>VLOOKUP(E22,'Peajes Actuales'!$B$11:$J$14,9,FALSE)</f>
        <v>13.012</v>
      </c>
      <c r="O22" s="123">
        <f t="shared" si="7"/>
        <v>971.64</v>
      </c>
      <c r="P22" s="123">
        <f t="shared" si="8"/>
        <v>6506</v>
      </c>
      <c r="Q22" s="122">
        <f t="shared" si="9"/>
        <v>7477.64</v>
      </c>
      <c r="R22" s="124">
        <f t="shared" si="10"/>
        <v>8728.9696676873391</v>
      </c>
      <c r="S22" s="79">
        <f t="shared" si="11"/>
        <v>17.457939335374679</v>
      </c>
      <c r="U22" s="76" t="str">
        <f>IF(B22&gt;'Peajes Circular CNMC'!$C$23,'Peajes Circular CNMC'!$B$23,IF(B22&gt;'Peajes Circular CNMC'!$C$22,'Peajes Circular CNMC'!$B$22,IF(B22&gt;'Peajes Circular CNMC'!$C$21,'Peajes Circular CNMC'!$B$21,IF(B22&gt;'Peajes Circular CNMC'!$C$20,'Peajes Circular CNMC'!$B$20,IF(B22&gt;'Peajes Circular CNMC'!$C$19,'Peajes Circular CNMC'!$B$19,IF(B22&gt;'Peajes Circular CNMC'!$C$18,'Peajes Circular CNMC'!$B$18,IF(B22&gt;'Peajes Circular CNMC'!$C$17,'Peajes Circular CNMC'!$B$17,IF(B22&gt;'Peajes Circular CNMC'!$C$16,'Peajes Circular CNMC'!$B$16,IF(B22&gt;'Peajes Circular CNMC'!$C$15,'Peajes Circular CNMC'!$B$15,IF(B22&gt;'Peajes Circular CNMC'!$C$14,'Peajes Circular CNMC'!$B$14,'Peajes Circular CNMC'!$B$13))))))))))</f>
        <v>D.5</v>
      </c>
      <c r="V22" s="96">
        <f>'Peajes Circular CNMC'!$H$30</f>
        <v>29.867609999999999</v>
      </c>
      <c r="W22" s="88">
        <f>'Peajes Circular CNMC'!$I$30</f>
        <v>0.15190999999999999</v>
      </c>
      <c r="X22" s="123">
        <f t="shared" si="12"/>
        <v>1170.12163873654</v>
      </c>
      <c r="Y22" s="123">
        <f t="shared" si="13"/>
        <v>75.954999999999998</v>
      </c>
      <c r="Z22" s="122">
        <f t="shared" si="14"/>
        <v>1246.07663873654</v>
      </c>
      <c r="AA22" s="88">
        <f>'Peajes Circular CNMC'!$H$35</f>
        <v>0.26106499999999999</v>
      </c>
      <c r="AB22" s="122">
        <f t="shared" si="15"/>
        <v>130.5325</v>
      </c>
      <c r="AC22" s="97">
        <f>'Peajes Circular CNMC'!$J$6</f>
        <v>20.326666666666664</v>
      </c>
      <c r="AD22" s="97">
        <f>'Peajes Circular CNMC'!$J$7</f>
        <v>2.2599999999999999E-2</v>
      </c>
      <c r="AE22" s="123">
        <f t="shared" si="16"/>
        <v>796.33665064099205</v>
      </c>
      <c r="AF22" s="123">
        <f t="shared" si="17"/>
        <v>11.299999999999999</v>
      </c>
      <c r="AG22" s="122">
        <f t="shared" si="18"/>
        <v>807.636650640992</v>
      </c>
      <c r="AH22" s="97">
        <f>'Peajes Circular CNMC'!$K$6</f>
        <v>12.351666666666667</v>
      </c>
      <c r="AI22" s="97">
        <f>'Peajes Circular CNMC'!$K$7</f>
        <v>2.2599999999999999E-2</v>
      </c>
      <c r="AJ22" s="123">
        <f t="shared" si="19"/>
        <v>483.90053442935334</v>
      </c>
      <c r="AK22" s="123">
        <f t="shared" si="20"/>
        <v>11.299999999999999</v>
      </c>
      <c r="AL22" s="122">
        <f t="shared" si="21"/>
        <v>495.20053442935335</v>
      </c>
      <c r="AM22" s="98">
        <f>VLOOKUP(U22,'Peajes Circular CNMC'!$B$13:$J$23,7,FALSE)</f>
        <v>0</v>
      </c>
      <c r="AN22" s="87">
        <f>VLOOKUP(U22,'Peajes Circular CNMC'!$B$13:$J$23,8,FALSE)</f>
        <v>221.929</v>
      </c>
      <c r="AO22" s="87">
        <f>VLOOKUP(U22,'Peajes Circular CNMC'!$B$13:$J$23,9,FALSE)</f>
        <v>14.445</v>
      </c>
      <c r="AP22" s="123">
        <f t="shared" si="22"/>
        <v>0</v>
      </c>
      <c r="AQ22" s="123">
        <f t="shared" si="23"/>
        <v>2663.1480000000001</v>
      </c>
      <c r="AR22" s="123">
        <f t="shared" si="24"/>
        <v>7222.5</v>
      </c>
      <c r="AS22" s="122">
        <f t="shared" si="25"/>
        <v>9885.648000000001</v>
      </c>
      <c r="AT22" s="124">
        <f t="shared" si="26"/>
        <v>12565.094323806887</v>
      </c>
      <c r="AU22" s="79">
        <f t="shared" si="27"/>
        <v>25.130188647613775</v>
      </c>
      <c r="AW22" s="75">
        <f t="shared" si="28"/>
        <v>0.50794994729572251</v>
      </c>
      <c r="AX22" s="100">
        <f t="shared" si="29"/>
        <v>0.90035966361402375</v>
      </c>
      <c r="AY22" s="100">
        <f t="shared" si="30"/>
        <v>0.3882519798264365</v>
      </c>
      <c r="AZ22" s="125">
        <f t="shared" si="0"/>
        <v>3836.1246561195476</v>
      </c>
      <c r="BA22" s="100">
        <f t="shared" si="1"/>
        <v>0.43947049905786806</v>
      </c>
      <c r="BB22" s="192">
        <f t="shared" si="31"/>
        <v>7.6722493122390958</v>
      </c>
    </row>
    <row r="23" spans="2:54">
      <c r="B23" s="105">
        <v>1000</v>
      </c>
      <c r="C23" s="112">
        <f>IF($C$5&lt;&gt;"Memoria CNMC",$C$5,IF(B23&gt;'Tipología Clientes'!$C$16,'Tipología Clientes'!$L$16,IF(B23&gt;'Tipología Clientes'!$C$15,'Tipología Clientes'!$L$15,IF(B23&gt;'Tipología Clientes'!$C$14,'Tipología Clientes'!$L$14,IF(B23&gt;'Tipología Clientes'!$C$13,'Tipología Clientes'!$L$13,IF(B23&gt;'Tipología Clientes'!$C$12,'Tipología Clientes'!$L$12,IF(B23&gt;'Tipología Clientes'!$C$11,'Tipología Clientes'!$L$11,IF(B23&gt;'Tipología Clientes'!$C$10,'Tipología Clientes'!$L$10,IF(B23&gt;'Tipología Clientes'!$C$9,'Tipología Clientes'!$L$9,IF(B23&gt;'Tipología Clientes'!$C$8,'Tipología Clientes'!$L$8,IF(B23&gt;'Tipología Clientes'!$C$7,'Tipología Clientes'!$L$7,'Tipología Clientes'!$L$6)))))))))))</f>
        <v>0.41959262584789264</v>
      </c>
      <c r="D23" s="113">
        <f t="shared" si="2"/>
        <v>6.5294904119464761</v>
      </c>
      <c r="E23" s="76" t="str">
        <f>IF(B23&gt;'Peajes Actuales'!$C$14,'Peajes Actuales'!$B$14,IF(B23&gt;'Peajes Actuales'!$C$13,'Peajes Actuales'!$B$13,IF(B23&gt;'Peajes Actuales'!$C$12,'Peajes Actuales'!$B$12,'Peajes Actuales'!$B$11)))</f>
        <v>3.4</v>
      </c>
      <c r="F23" s="88">
        <f>'Peajes Actuales'!$H$29</f>
        <v>19.612000000000002</v>
      </c>
      <c r="G23" s="88">
        <f>'Peajes Actuales'!$I$29</f>
        <v>0.11599999999999999</v>
      </c>
      <c r="H23" s="123">
        <f t="shared" si="3"/>
        <v>1536.6763915091317</v>
      </c>
      <c r="I23" s="123">
        <f t="shared" si="4"/>
        <v>115.99999999999999</v>
      </c>
      <c r="J23" s="122">
        <f t="shared" si="5"/>
        <v>1652.6763915091317</v>
      </c>
      <c r="K23" s="89">
        <f>'Peajes Actuales'!$I$5</f>
        <v>10.848000000000001</v>
      </c>
      <c r="L23" s="122">
        <f t="shared" si="6"/>
        <v>849.9829438655446</v>
      </c>
      <c r="M23" s="87">
        <f>VLOOKUP(E23,'Peajes Actuales'!$B$11:$J$14,8,FALSE)</f>
        <v>80.97</v>
      </c>
      <c r="N23" s="90">
        <f>VLOOKUP(E23,'Peajes Actuales'!$B$11:$J$14,9,FALSE)</f>
        <v>13.012</v>
      </c>
      <c r="O23" s="123">
        <f t="shared" si="7"/>
        <v>971.64</v>
      </c>
      <c r="P23" s="123">
        <f t="shared" si="8"/>
        <v>13012</v>
      </c>
      <c r="Q23" s="122">
        <f t="shared" si="9"/>
        <v>13983.64</v>
      </c>
      <c r="R23" s="124">
        <f t="shared" si="10"/>
        <v>16486.299335374675</v>
      </c>
      <c r="S23" s="79">
        <f t="shared" si="11"/>
        <v>16.486299335374675</v>
      </c>
      <c r="U23" s="76" t="str">
        <f>IF(B23&gt;'Peajes Circular CNMC'!$C$23,'Peajes Circular CNMC'!$B$23,IF(B23&gt;'Peajes Circular CNMC'!$C$22,'Peajes Circular CNMC'!$B$22,IF(B23&gt;'Peajes Circular CNMC'!$C$21,'Peajes Circular CNMC'!$B$21,IF(B23&gt;'Peajes Circular CNMC'!$C$20,'Peajes Circular CNMC'!$B$20,IF(B23&gt;'Peajes Circular CNMC'!$C$19,'Peajes Circular CNMC'!$B$19,IF(B23&gt;'Peajes Circular CNMC'!$C$18,'Peajes Circular CNMC'!$B$18,IF(B23&gt;'Peajes Circular CNMC'!$C$17,'Peajes Circular CNMC'!$B$17,IF(B23&gt;'Peajes Circular CNMC'!$C$16,'Peajes Circular CNMC'!$B$16,IF(B23&gt;'Peajes Circular CNMC'!$C$15,'Peajes Circular CNMC'!$B$15,IF(B23&gt;'Peajes Circular CNMC'!$C$14,'Peajes Circular CNMC'!$B$14,'Peajes Circular CNMC'!$B$13))))))))))</f>
        <v>D.5</v>
      </c>
      <c r="V23" s="96">
        <f>'Peajes Circular CNMC'!$H$30</f>
        <v>29.867609999999999</v>
      </c>
      <c r="W23" s="88">
        <f>'Peajes Circular CNMC'!$I$30</f>
        <v>0.15190999999999999</v>
      </c>
      <c r="X23" s="123">
        <f t="shared" si="12"/>
        <v>2340.2432774730801</v>
      </c>
      <c r="Y23" s="123">
        <f t="shared" si="13"/>
        <v>151.91</v>
      </c>
      <c r="Z23" s="122">
        <f t="shared" si="14"/>
        <v>2492.1532774730799</v>
      </c>
      <c r="AA23" s="88">
        <f>'Peajes Circular CNMC'!$H$35</f>
        <v>0.26106499999999999</v>
      </c>
      <c r="AB23" s="122">
        <f t="shared" si="15"/>
        <v>261.065</v>
      </c>
      <c r="AC23" s="97">
        <f>'Peajes Circular CNMC'!$J$6</f>
        <v>20.326666666666664</v>
      </c>
      <c r="AD23" s="97">
        <f>'Peajes Circular CNMC'!$J$7</f>
        <v>2.2599999999999999E-2</v>
      </c>
      <c r="AE23" s="123">
        <f t="shared" si="16"/>
        <v>1592.6733012819841</v>
      </c>
      <c r="AF23" s="123">
        <f t="shared" si="17"/>
        <v>22.599999999999998</v>
      </c>
      <c r="AG23" s="122">
        <f t="shared" si="18"/>
        <v>1615.273301281984</v>
      </c>
      <c r="AH23" s="97">
        <f>'Peajes Circular CNMC'!$K$6</f>
        <v>12.351666666666667</v>
      </c>
      <c r="AI23" s="97">
        <f>'Peajes Circular CNMC'!$K$7</f>
        <v>2.2599999999999999E-2</v>
      </c>
      <c r="AJ23" s="123">
        <f t="shared" si="19"/>
        <v>967.80106885870669</v>
      </c>
      <c r="AK23" s="123">
        <f t="shared" si="20"/>
        <v>22.599999999999998</v>
      </c>
      <c r="AL23" s="122">
        <f t="shared" si="21"/>
        <v>990.40106885870671</v>
      </c>
      <c r="AM23" s="98">
        <f>VLOOKUP(U23,'Peajes Circular CNMC'!$B$13:$J$23,7,FALSE)</f>
        <v>0</v>
      </c>
      <c r="AN23" s="87">
        <f>VLOOKUP(U23,'Peajes Circular CNMC'!$B$13:$J$23,8,FALSE)</f>
        <v>221.929</v>
      </c>
      <c r="AO23" s="87">
        <f>VLOOKUP(U23,'Peajes Circular CNMC'!$B$13:$J$23,9,FALSE)</f>
        <v>14.445</v>
      </c>
      <c r="AP23" s="123">
        <f t="shared" si="22"/>
        <v>0</v>
      </c>
      <c r="AQ23" s="123">
        <f t="shared" si="23"/>
        <v>2663.1480000000001</v>
      </c>
      <c r="AR23" s="123">
        <f t="shared" si="24"/>
        <v>14445</v>
      </c>
      <c r="AS23" s="122">
        <f t="shared" si="25"/>
        <v>17108.148000000001</v>
      </c>
      <c r="AT23" s="124">
        <f t="shared" si="26"/>
        <v>22467.040647613772</v>
      </c>
      <c r="AU23" s="79">
        <f t="shared" si="27"/>
        <v>22.467040647613771</v>
      </c>
      <c r="AW23" s="75">
        <f t="shared" si="28"/>
        <v>0.50794994729572251</v>
      </c>
      <c r="AX23" s="100">
        <f t="shared" si="29"/>
        <v>0.90035966361402375</v>
      </c>
      <c r="AY23" s="100">
        <f t="shared" si="30"/>
        <v>0.29426594712526277</v>
      </c>
      <c r="AZ23" s="125">
        <f t="shared" si="0"/>
        <v>5980.7413122390972</v>
      </c>
      <c r="BA23" s="100">
        <f t="shared" si="1"/>
        <v>0.36277039440902376</v>
      </c>
      <c r="BB23" s="192">
        <f t="shared" si="31"/>
        <v>5.9807413122390969</v>
      </c>
    </row>
    <row r="24" spans="2:54">
      <c r="B24" s="105">
        <v>1500</v>
      </c>
      <c r="C24" s="112">
        <f>IF($C$5&lt;&gt;"Memoria CNMC",$C$5,IF(B24&gt;'Tipología Clientes'!$C$16,'Tipología Clientes'!$L$16,IF(B24&gt;'Tipología Clientes'!$C$15,'Tipología Clientes'!$L$15,IF(B24&gt;'Tipología Clientes'!$C$14,'Tipología Clientes'!$L$14,IF(B24&gt;'Tipología Clientes'!$C$13,'Tipología Clientes'!$L$13,IF(B24&gt;'Tipología Clientes'!$C$12,'Tipología Clientes'!$L$12,IF(B24&gt;'Tipología Clientes'!$C$11,'Tipología Clientes'!$L$11,IF(B24&gt;'Tipología Clientes'!$C$10,'Tipología Clientes'!$L$10,IF(B24&gt;'Tipología Clientes'!$C$9,'Tipología Clientes'!$L$9,IF(B24&gt;'Tipología Clientes'!$C$8,'Tipología Clientes'!$L$8,IF(B24&gt;'Tipología Clientes'!$C$7,'Tipología Clientes'!$L$7,'Tipología Clientes'!$L$6)))))))))))</f>
        <v>0.41959262584789264</v>
      </c>
      <c r="D24" s="113">
        <f t="shared" ref="D24:D32" si="32">B24/365/C24</f>
        <v>9.7942356179197159</v>
      </c>
      <c r="E24" s="76" t="str">
        <f>IF(B24&gt;'Peajes Actuales'!$C$14,'Peajes Actuales'!$B$14,IF(B24&gt;'Peajes Actuales'!$C$13,'Peajes Actuales'!$B$13,IF(B24&gt;'Peajes Actuales'!$C$12,'Peajes Actuales'!$B$12,'Peajes Actuales'!$B$11)))</f>
        <v>3.4</v>
      </c>
      <c r="F24" s="88">
        <f>'Peajes Actuales'!$H$29</f>
        <v>19.612000000000002</v>
      </c>
      <c r="G24" s="88">
        <f>'Peajes Actuales'!$I$29</f>
        <v>0.11599999999999999</v>
      </c>
      <c r="H24" s="123">
        <f t="shared" ref="H24:H32" si="33">D24*F24*12</f>
        <v>2305.0145872636976</v>
      </c>
      <c r="I24" s="123">
        <f t="shared" ref="I24:I32" si="34">B24*G24</f>
        <v>174</v>
      </c>
      <c r="J24" s="122">
        <f t="shared" ref="J24:J32" si="35">H24+I24</f>
        <v>2479.0145872636976</v>
      </c>
      <c r="K24" s="89">
        <f>'Peajes Actuales'!$I$5</f>
        <v>10.848000000000001</v>
      </c>
      <c r="L24" s="122">
        <f t="shared" ref="L24:L32" si="36">12*K24*D24</f>
        <v>1274.9744157983171</v>
      </c>
      <c r="M24" s="87">
        <f>VLOOKUP(E24,'Peajes Actuales'!$B$11:$J$14,8,FALSE)</f>
        <v>80.97</v>
      </c>
      <c r="N24" s="90">
        <f>VLOOKUP(E24,'Peajes Actuales'!$B$11:$J$14,9,FALSE)</f>
        <v>13.012</v>
      </c>
      <c r="O24" s="123">
        <f t="shared" ref="O24:O32" si="37">M24*12</f>
        <v>971.64</v>
      </c>
      <c r="P24" s="123">
        <f t="shared" ref="P24:P32" si="38">B24*N24</f>
        <v>19518</v>
      </c>
      <c r="Q24" s="122">
        <f t="shared" ref="Q24:Q32" si="39">SUM(O24:P24)</f>
        <v>20489.64</v>
      </c>
      <c r="R24" s="124">
        <f t="shared" ref="R24:R32" si="40">J24+L24+Q24</f>
        <v>24243.629003062015</v>
      </c>
      <c r="S24" s="79">
        <f t="shared" ref="S24:S32" si="41">R24/B24</f>
        <v>16.162419335374675</v>
      </c>
      <c r="U24" s="76" t="str">
        <f>IF(B24&gt;'Peajes Circular CNMC'!$C$23,'Peajes Circular CNMC'!$B$23,IF(B24&gt;'Peajes Circular CNMC'!$C$22,'Peajes Circular CNMC'!$B$22,IF(B24&gt;'Peajes Circular CNMC'!$C$21,'Peajes Circular CNMC'!$B$21,IF(B24&gt;'Peajes Circular CNMC'!$C$20,'Peajes Circular CNMC'!$B$20,IF(B24&gt;'Peajes Circular CNMC'!$C$19,'Peajes Circular CNMC'!$B$19,IF(B24&gt;'Peajes Circular CNMC'!$C$18,'Peajes Circular CNMC'!$B$18,IF(B24&gt;'Peajes Circular CNMC'!$C$17,'Peajes Circular CNMC'!$B$17,IF(B24&gt;'Peajes Circular CNMC'!$C$16,'Peajes Circular CNMC'!$B$16,IF(B24&gt;'Peajes Circular CNMC'!$C$15,'Peajes Circular CNMC'!$B$15,IF(B24&gt;'Peajes Circular CNMC'!$C$14,'Peajes Circular CNMC'!$B$14,'Peajes Circular CNMC'!$B$13))))))))))</f>
        <v>D.5</v>
      </c>
      <c r="V24" s="96">
        <f>'Peajes Circular CNMC'!$H$30</f>
        <v>29.867609999999999</v>
      </c>
      <c r="W24" s="88">
        <f>'Peajes Circular CNMC'!$I$30</f>
        <v>0.15190999999999999</v>
      </c>
      <c r="X24" s="123">
        <f t="shared" si="12"/>
        <v>3510.3649162096208</v>
      </c>
      <c r="Y24" s="123">
        <f t="shared" si="13"/>
        <v>227.86499999999998</v>
      </c>
      <c r="Z24" s="122">
        <f t="shared" si="14"/>
        <v>3738.2299162096206</v>
      </c>
      <c r="AA24" s="88">
        <f>'Peajes Circular CNMC'!$H$35</f>
        <v>0.26106499999999999</v>
      </c>
      <c r="AB24" s="122">
        <f t="shared" si="15"/>
        <v>391.59749999999997</v>
      </c>
      <c r="AC24" s="97">
        <f>'Peajes Circular CNMC'!$J$6</f>
        <v>20.326666666666664</v>
      </c>
      <c r="AD24" s="97">
        <f>'Peajes Circular CNMC'!$J$7</f>
        <v>2.2599999999999999E-2</v>
      </c>
      <c r="AE24" s="123">
        <f t="shared" si="16"/>
        <v>2389.0099519229766</v>
      </c>
      <c r="AF24" s="123">
        <f t="shared" si="17"/>
        <v>33.9</v>
      </c>
      <c r="AG24" s="122">
        <f t="shared" si="18"/>
        <v>2422.9099519229767</v>
      </c>
      <c r="AH24" s="97">
        <f>'Peajes Circular CNMC'!$K$6</f>
        <v>12.351666666666667</v>
      </c>
      <c r="AI24" s="97">
        <f>'Peajes Circular CNMC'!$K$7</f>
        <v>2.2599999999999999E-2</v>
      </c>
      <c r="AJ24" s="123">
        <f t="shared" si="19"/>
        <v>1451.7016032880604</v>
      </c>
      <c r="AK24" s="123">
        <f t="shared" si="20"/>
        <v>33.9</v>
      </c>
      <c r="AL24" s="122">
        <f t="shared" si="21"/>
        <v>1485.6016032880605</v>
      </c>
      <c r="AM24" s="98">
        <f>VLOOKUP(U24,'Peajes Circular CNMC'!$B$13:$J$23,7,FALSE)</f>
        <v>0</v>
      </c>
      <c r="AN24" s="87">
        <f>VLOOKUP(U24,'Peajes Circular CNMC'!$B$13:$J$23,8,FALSE)</f>
        <v>221.929</v>
      </c>
      <c r="AO24" s="87">
        <f>VLOOKUP(U24,'Peajes Circular CNMC'!$B$13:$J$23,9,FALSE)</f>
        <v>14.445</v>
      </c>
      <c r="AP24" s="123">
        <f t="shared" si="22"/>
        <v>0</v>
      </c>
      <c r="AQ24" s="123">
        <f t="shared" si="23"/>
        <v>2663.1480000000001</v>
      </c>
      <c r="AR24" s="123">
        <f t="shared" si="24"/>
        <v>21667.5</v>
      </c>
      <c r="AS24" s="122">
        <f t="shared" si="25"/>
        <v>24330.648000000001</v>
      </c>
      <c r="AT24" s="124">
        <f t="shared" si="26"/>
        <v>32368.986971420658</v>
      </c>
      <c r="AU24" s="79">
        <f t="shared" si="27"/>
        <v>21.57932464761377</v>
      </c>
      <c r="AW24" s="75">
        <f t="shared" si="28"/>
        <v>0.50794994729572263</v>
      </c>
      <c r="AX24" s="100">
        <f t="shared" si="29"/>
        <v>0.90035966361402409</v>
      </c>
      <c r="AY24" s="100">
        <f t="shared" si="30"/>
        <v>0.25996599273037807</v>
      </c>
      <c r="AZ24" s="125">
        <f t="shared" si="0"/>
        <v>8125.3579683586431</v>
      </c>
      <c r="BA24" s="100">
        <f t="shared" si="1"/>
        <v>0.33515436023758638</v>
      </c>
      <c r="BB24" s="192">
        <f t="shared" si="31"/>
        <v>5.4169053122390949</v>
      </c>
    </row>
    <row r="25" spans="2:54">
      <c r="B25" s="105">
        <v>2000</v>
      </c>
      <c r="C25" s="112">
        <f>IF($C$5&lt;&gt;"Memoria CNMC",$C$5,IF(B25&gt;'Tipología Clientes'!$C$16,'Tipología Clientes'!$L$16,IF(B25&gt;'Tipología Clientes'!$C$15,'Tipología Clientes'!$L$15,IF(B25&gt;'Tipología Clientes'!$C$14,'Tipología Clientes'!$L$14,IF(B25&gt;'Tipología Clientes'!$C$13,'Tipología Clientes'!$L$13,IF(B25&gt;'Tipología Clientes'!$C$12,'Tipología Clientes'!$L$12,IF(B25&gt;'Tipología Clientes'!$C$11,'Tipología Clientes'!$L$11,IF(B25&gt;'Tipología Clientes'!$C$10,'Tipología Clientes'!$L$10,IF(B25&gt;'Tipología Clientes'!$C$9,'Tipología Clientes'!$L$9,IF(B25&gt;'Tipología Clientes'!$C$8,'Tipología Clientes'!$L$8,IF(B25&gt;'Tipología Clientes'!$C$7,'Tipología Clientes'!$L$7,'Tipología Clientes'!$L$6)))))))))))</f>
        <v>0.46606774195113709</v>
      </c>
      <c r="D25" s="113">
        <f t="shared" si="32"/>
        <v>11.756771734202086</v>
      </c>
      <c r="E25" s="76" t="str">
        <f>IF(B25&gt;'Peajes Actuales'!$C$14,'Peajes Actuales'!$B$14,IF(B25&gt;'Peajes Actuales'!$C$13,'Peajes Actuales'!$B$13,IF(B25&gt;'Peajes Actuales'!$C$12,'Peajes Actuales'!$B$12,'Peajes Actuales'!$B$11)))</f>
        <v>3.4</v>
      </c>
      <c r="F25" s="88">
        <f>'Peajes Actuales'!$H$29</f>
        <v>19.612000000000002</v>
      </c>
      <c r="G25" s="88">
        <f>'Peajes Actuales'!$I$29</f>
        <v>0.11599999999999999</v>
      </c>
      <c r="H25" s="123">
        <f t="shared" si="33"/>
        <v>2766.8856870140562</v>
      </c>
      <c r="I25" s="123">
        <f t="shared" si="34"/>
        <v>231.99999999999997</v>
      </c>
      <c r="J25" s="122">
        <f t="shared" si="35"/>
        <v>2998.8856870140562</v>
      </c>
      <c r="K25" s="89">
        <f>'Peajes Actuales'!$I$5</f>
        <v>10.848000000000001</v>
      </c>
      <c r="L25" s="122">
        <f t="shared" si="36"/>
        <v>1530.449517271491</v>
      </c>
      <c r="M25" s="87">
        <f>VLOOKUP(E25,'Peajes Actuales'!$B$11:$J$14,8,FALSE)</f>
        <v>80.97</v>
      </c>
      <c r="N25" s="90">
        <f>VLOOKUP(E25,'Peajes Actuales'!$B$11:$J$14,9,FALSE)</f>
        <v>13.012</v>
      </c>
      <c r="O25" s="123">
        <f t="shared" si="37"/>
        <v>971.64</v>
      </c>
      <c r="P25" s="123">
        <f t="shared" si="38"/>
        <v>26024</v>
      </c>
      <c r="Q25" s="122">
        <f t="shared" si="39"/>
        <v>26995.64</v>
      </c>
      <c r="R25" s="124">
        <f t="shared" si="40"/>
        <v>31524.975204285547</v>
      </c>
      <c r="S25" s="79">
        <f t="shared" si="41"/>
        <v>15.762487602142773</v>
      </c>
      <c r="U25" s="76" t="str">
        <f>IF(B25&gt;'Peajes Circular CNMC'!$C$23,'Peajes Circular CNMC'!$B$23,IF(B25&gt;'Peajes Circular CNMC'!$C$22,'Peajes Circular CNMC'!$B$22,IF(B25&gt;'Peajes Circular CNMC'!$C$21,'Peajes Circular CNMC'!$B$21,IF(B25&gt;'Peajes Circular CNMC'!$C$20,'Peajes Circular CNMC'!$B$20,IF(B25&gt;'Peajes Circular CNMC'!$C$19,'Peajes Circular CNMC'!$B$19,IF(B25&gt;'Peajes Circular CNMC'!$C$18,'Peajes Circular CNMC'!$B$18,IF(B25&gt;'Peajes Circular CNMC'!$C$17,'Peajes Circular CNMC'!$B$17,IF(B25&gt;'Peajes Circular CNMC'!$C$16,'Peajes Circular CNMC'!$B$16,IF(B25&gt;'Peajes Circular CNMC'!$C$15,'Peajes Circular CNMC'!$B$15,IF(B25&gt;'Peajes Circular CNMC'!$C$14,'Peajes Circular CNMC'!$B$14,'Peajes Circular CNMC'!$B$13))))))))))</f>
        <v>D.6</v>
      </c>
      <c r="V25" s="96">
        <f>'Peajes Circular CNMC'!$H$30</f>
        <v>29.867609999999999</v>
      </c>
      <c r="W25" s="88">
        <f>'Peajes Circular CNMC'!$I$30</f>
        <v>0.15190999999999999</v>
      </c>
      <c r="X25" s="123">
        <f t="shared" si="12"/>
        <v>4213.7600761940585</v>
      </c>
      <c r="Y25" s="123">
        <f t="shared" si="13"/>
        <v>303.82</v>
      </c>
      <c r="Z25" s="122">
        <f t="shared" si="14"/>
        <v>4517.5800761940582</v>
      </c>
      <c r="AA25" s="88">
        <f>'Peajes Circular CNMC'!$H$35</f>
        <v>0.26106499999999999</v>
      </c>
      <c r="AB25" s="122">
        <f t="shared" si="15"/>
        <v>522.13</v>
      </c>
      <c r="AC25" s="97">
        <f>'Peajes Circular CNMC'!$J$6</f>
        <v>20.326666666666664</v>
      </c>
      <c r="AD25" s="97">
        <f>'Peajes Circular CNMC'!$J$7</f>
        <v>2.2599999999999999E-2</v>
      </c>
      <c r="AE25" s="123">
        <f t="shared" si="16"/>
        <v>2867.7117614065724</v>
      </c>
      <c r="AF25" s="123">
        <f t="shared" si="17"/>
        <v>45.199999999999996</v>
      </c>
      <c r="AG25" s="122">
        <f t="shared" si="18"/>
        <v>2912.9117614065722</v>
      </c>
      <c r="AH25" s="97">
        <f>'Peajes Circular CNMC'!$K$6</f>
        <v>12.351666666666667</v>
      </c>
      <c r="AI25" s="97">
        <f>'Peajes Circular CNMC'!$K$7</f>
        <v>2.2599999999999999E-2</v>
      </c>
      <c r="AJ25" s="123">
        <f t="shared" si="19"/>
        <v>1742.5887064434332</v>
      </c>
      <c r="AK25" s="123">
        <f t="shared" si="20"/>
        <v>45.199999999999996</v>
      </c>
      <c r="AL25" s="122">
        <f t="shared" si="21"/>
        <v>1787.7887064434333</v>
      </c>
      <c r="AM25" s="98">
        <f>VLOOKUP(U25,'Peajes Circular CNMC'!$B$13:$J$23,7,FALSE)</f>
        <v>0</v>
      </c>
      <c r="AN25" s="87">
        <f>VLOOKUP(U25,'Peajes Circular CNMC'!$B$13:$J$23,8,FALSE)</f>
        <v>1110.8520000000001</v>
      </c>
      <c r="AO25" s="87">
        <f>VLOOKUP(U25,'Peajes Circular CNMC'!$B$13:$J$23,9,FALSE)</f>
        <v>8.702</v>
      </c>
      <c r="AP25" s="123">
        <f t="shared" si="22"/>
        <v>0</v>
      </c>
      <c r="AQ25" s="123">
        <f t="shared" si="23"/>
        <v>13330.224000000002</v>
      </c>
      <c r="AR25" s="123">
        <f t="shared" si="24"/>
        <v>17404</v>
      </c>
      <c r="AS25" s="122">
        <f t="shared" si="25"/>
        <v>30734.224000000002</v>
      </c>
      <c r="AT25" s="124">
        <f t="shared" si="26"/>
        <v>40474.634544044064</v>
      </c>
      <c r="AU25" s="79">
        <f t="shared" si="27"/>
        <v>20.237317272022032</v>
      </c>
      <c r="AW25" s="75">
        <f t="shared" si="28"/>
        <v>0.50641956635971086</v>
      </c>
      <c r="AX25" s="100">
        <f t="shared" si="29"/>
        <v>0.90330470135320517</v>
      </c>
      <c r="AY25" s="100">
        <f t="shared" si="30"/>
        <v>0.20471352805280538</v>
      </c>
      <c r="AZ25" s="125">
        <f t="shared" si="0"/>
        <v>8949.6593397585166</v>
      </c>
      <c r="BA25" s="100">
        <f t="shared" si="1"/>
        <v>0.28389108260240242</v>
      </c>
      <c r="BB25" s="192">
        <f t="shared" si="31"/>
        <v>4.4748296698792593</v>
      </c>
    </row>
    <row r="26" spans="2:54">
      <c r="B26" s="105">
        <v>3000</v>
      </c>
      <c r="C26" s="112">
        <f>IF($C$5&lt;&gt;"Memoria CNMC",$C$5,IF(B26&gt;'Tipología Clientes'!$C$16,'Tipología Clientes'!$L$16,IF(B26&gt;'Tipología Clientes'!$C$15,'Tipología Clientes'!$L$15,IF(B26&gt;'Tipología Clientes'!$C$14,'Tipología Clientes'!$L$14,IF(B26&gt;'Tipología Clientes'!$C$13,'Tipología Clientes'!$L$13,IF(B26&gt;'Tipología Clientes'!$C$12,'Tipología Clientes'!$L$12,IF(B26&gt;'Tipología Clientes'!$C$11,'Tipología Clientes'!$L$11,IF(B26&gt;'Tipología Clientes'!$C$10,'Tipología Clientes'!$L$10,IF(B26&gt;'Tipología Clientes'!$C$9,'Tipología Clientes'!$L$9,IF(B26&gt;'Tipología Clientes'!$C$8,'Tipología Clientes'!$L$8,IF(B26&gt;'Tipología Clientes'!$C$7,'Tipología Clientes'!$L$7,'Tipología Clientes'!$L$6)))))))))))</f>
        <v>0.46606774195113709</v>
      </c>
      <c r="D26" s="113">
        <f t="shared" si="32"/>
        <v>17.635157601303131</v>
      </c>
      <c r="E26" s="76" t="str">
        <f>IF(B26&gt;'Peajes Actuales'!$C$14,'Peajes Actuales'!$B$14,IF(B26&gt;'Peajes Actuales'!$C$13,'Peajes Actuales'!$B$13,IF(B26&gt;'Peajes Actuales'!$C$12,'Peajes Actuales'!$B$12,'Peajes Actuales'!$B$11)))</f>
        <v>3.4</v>
      </c>
      <c r="F26" s="88">
        <f>'Peajes Actuales'!$H$29</f>
        <v>19.612000000000002</v>
      </c>
      <c r="G26" s="88">
        <f>'Peajes Actuales'!$I$29</f>
        <v>0.11599999999999999</v>
      </c>
      <c r="H26" s="123">
        <f t="shared" si="33"/>
        <v>4150.3285305210848</v>
      </c>
      <c r="I26" s="123">
        <f t="shared" si="34"/>
        <v>348</v>
      </c>
      <c r="J26" s="122">
        <f t="shared" si="35"/>
        <v>4498.3285305210848</v>
      </c>
      <c r="K26" s="89">
        <f>'Peajes Actuales'!$I$5</f>
        <v>10.848000000000001</v>
      </c>
      <c r="L26" s="122">
        <f t="shared" si="36"/>
        <v>2295.6742759072367</v>
      </c>
      <c r="M26" s="87">
        <f>VLOOKUP(E26,'Peajes Actuales'!$B$11:$J$14,8,FALSE)</f>
        <v>80.97</v>
      </c>
      <c r="N26" s="90">
        <f>VLOOKUP(E26,'Peajes Actuales'!$B$11:$J$14,9,FALSE)</f>
        <v>13.012</v>
      </c>
      <c r="O26" s="123">
        <f t="shared" si="37"/>
        <v>971.64</v>
      </c>
      <c r="P26" s="123">
        <f t="shared" si="38"/>
        <v>39036</v>
      </c>
      <c r="Q26" s="122">
        <f t="shared" si="39"/>
        <v>40007.64</v>
      </c>
      <c r="R26" s="124">
        <f t="shared" si="40"/>
        <v>46801.642806428325</v>
      </c>
      <c r="S26" s="79">
        <f t="shared" si="41"/>
        <v>15.600547602142775</v>
      </c>
      <c r="U26" s="76" t="str">
        <f>IF(B26&gt;'Peajes Circular CNMC'!$C$23,'Peajes Circular CNMC'!$B$23,IF(B26&gt;'Peajes Circular CNMC'!$C$22,'Peajes Circular CNMC'!$B$22,IF(B26&gt;'Peajes Circular CNMC'!$C$21,'Peajes Circular CNMC'!$B$21,IF(B26&gt;'Peajes Circular CNMC'!$C$20,'Peajes Circular CNMC'!$B$20,IF(B26&gt;'Peajes Circular CNMC'!$C$19,'Peajes Circular CNMC'!$B$19,IF(B26&gt;'Peajes Circular CNMC'!$C$18,'Peajes Circular CNMC'!$B$18,IF(B26&gt;'Peajes Circular CNMC'!$C$17,'Peajes Circular CNMC'!$B$17,IF(B26&gt;'Peajes Circular CNMC'!$C$16,'Peajes Circular CNMC'!$B$16,IF(B26&gt;'Peajes Circular CNMC'!$C$15,'Peajes Circular CNMC'!$B$15,IF(B26&gt;'Peajes Circular CNMC'!$C$14,'Peajes Circular CNMC'!$B$14,'Peajes Circular CNMC'!$B$13))))))))))</f>
        <v>D.6</v>
      </c>
      <c r="V26" s="96">
        <f>'Peajes Circular CNMC'!$H$30</f>
        <v>29.867609999999999</v>
      </c>
      <c r="W26" s="88">
        <f>'Peajes Circular CNMC'!$I$30</f>
        <v>0.15190999999999999</v>
      </c>
      <c r="X26" s="123">
        <f t="shared" si="12"/>
        <v>6320.640114291089</v>
      </c>
      <c r="Y26" s="123">
        <f t="shared" si="13"/>
        <v>455.72999999999996</v>
      </c>
      <c r="Z26" s="122">
        <f t="shared" si="14"/>
        <v>6776.3701142910886</v>
      </c>
      <c r="AA26" s="88">
        <f>'Peajes Circular CNMC'!$H$35</f>
        <v>0.26106499999999999</v>
      </c>
      <c r="AB26" s="122">
        <f t="shared" si="15"/>
        <v>783.19499999999994</v>
      </c>
      <c r="AC26" s="97">
        <f>'Peajes Circular CNMC'!$J$6</f>
        <v>20.326666666666664</v>
      </c>
      <c r="AD26" s="97">
        <f>'Peajes Circular CNMC'!$J$7</f>
        <v>2.2599999999999999E-2</v>
      </c>
      <c r="AE26" s="123">
        <f t="shared" si="16"/>
        <v>4301.5676421098588</v>
      </c>
      <c r="AF26" s="123">
        <f t="shared" si="17"/>
        <v>67.8</v>
      </c>
      <c r="AG26" s="122">
        <f t="shared" si="18"/>
        <v>4369.3676421098589</v>
      </c>
      <c r="AH26" s="97">
        <f>'Peajes Circular CNMC'!$K$6</f>
        <v>12.351666666666667</v>
      </c>
      <c r="AI26" s="97">
        <f>'Peajes Circular CNMC'!$K$7</f>
        <v>2.2599999999999999E-2</v>
      </c>
      <c r="AJ26" s="123">
        <f t="shared" si="19"/>
        <v>2613.8830596651501</v>
      </c>
      <c r="AK26" s="123">
        <f t="shared" si="20"/>
        <v>67.8</v>
      </c>
      <c r="AL26" s="122">
        <f t="shared" si="21"/>
        <v>2681.6830596651503</v>
      </c>
      <c r="AM26" s="98">
        <f>VLOOKUP(U26,'Peajes Circular CNMC'!$B$13:$J$23,7,FALSE)</f>
        <v>0</v>
      </c>
      <c r="AN26" s="87">
        <f>VLOOKUP(U26,'Peajes Circular CNMC'!$B$13:$J$23,8,FALSE)</f>
        <v>1110.8520000000001</v>
      </c>
      <c r="AO26" s="87">
        <f>VLOOKUP(U26,'Peajes Circular CNMC'!$B$13:$J$23,9,FALSE)</f>
        <v>8.702</v>
      </c>
      <c r="AP26" s="123">
        <f t="shared" si="22"/>
        <v>0</v>
      </c>
      <c r="AQ26" s="123">
        <f t="shared" si="23"/>
        <v>13330.224000000002</v>
      </c>
      <c r="AR26" s="123">
        <f t="shared" si="24"/>
        <v>26106</v>
      </c>
      <c r="AS26" s="122">
        <f t="shared" si="25"/>
        <v>39436.224000000002</v>
      </c>
      <c r="AT26" s="124">
        <f t="shared" si="26"/>
        <v>54046.839816066102</v>
      </c>
      <c r="AU26" s="79">
        <f t="shared" si="27"/>
        <v>18.015613272022033</v>
      </c>
      <c r="AW26" s="75">
        <f t="shared" si="28"/>
        <v>0.50641956635971097</v>
      </c>
      <c r="AX26" s="100">
        <f t="shared" si="29"/>
        <v>0.90330470135320529</v>
      </c>
      <c r="AY26" s="100">
        <f t="shared" si="30"/>
        <v>5.2746601890667669E-2</v>
      </c>
      <c r="AZ26" s="125">
        <f t="shared" si="0"/>
        <v>7245.1970096377772</v>
      </c>
      <c r="BA26" s="100">
        <f t="shared" si="1"/>
        <v>0.15480646779011423</v>
      </c>
      <c r="BB26" s="192">
        <f t="shared" si="31"/>
        <v>2.4150656698792581</v>
      </c>
    </row>
    <row r="27" spans="2:54">
      <c r="B27" s="105">
        <v>3500</v>
      </c>
      <c r="C27" s="112">
        <f>IF($C$5&lt;&gt;"Memoria CNMC",$C$5,IF(B27&gt;'Tipología Clientes'!$C$16,'Tipología Clientes'!$L$16,IF(B27&gt;'Tipología Clientes'!$C$15,'Tipología Clientes'!$L$15,IF(B27&gt;'Tipología Clientes'!$C$14,'Tipología Clientes'!$L$14,IF(B27&gt;'Tipología Clientes'!$C$13,'Tipología Clientes'!$L$13,IF(B27&gt;'Tipología Clientes'!$C$12,'Tipología Clientes'!$L$12,IF(B27&gt;'Tipología Clientes'!$C$11,'Tipología Clientes'!$L$11,IF(B27&gt;'Tipología Clientes'!$C$10,'Tipología Clientes'!$L$10,IF(B27&gt;'Tipología Clientes'!$C$9,'Tipología Clientes'!$L$9,IF(B27&gt;'Tipología Clientes'!$C$8,'Tipología Clientes'!$L$8,IF(B27&gt;'Tipología Clientes'!$C$7,'Tipología Clientes'!$L$7,'Tipología Clientes'!$L$6)))))))))))</f>
        <v>0.46606774195113709</v>
      </c>
      <c r="D27" s="113">
        <f t="shared" si="32"/>
        <v>20.57435053485365</v>
      </c>
      <c r="E27" s="76" t="str">
        <f>IF(B27&gt;'Peajes Actuales'!$C$14,'Peajes Actuales'!$B$14,IF(B27&gt;'Peajes Actuales'!$C$13,'Peajes Actuales'!$B$13,IF(B27&gt;'Peajes Actuales'!$C$12,'Peajes Actuales'!$B$12,'Peajes Actuales'!$B$11)))</f>
        <v>3.4</v>
      </c>
      <c r="F27" s="88">
        <f>'Peajes Actuales'!$H$29</f>
        <v>19.612000000000002</v>
      </c>
      <c r="G27" s="88">
        <f>'Peajes Actuales'!$I$29</f>
        <v>0.11599999999999999</v>
      </c>
      <c r="H27" s="123">
        <f t="shared" si="33"/>
        <v>4842.0499522745977</v>
      </c>
      <c r="I27" s="123">
        <f t="shared" si="34"/>
        <v>406</v>
      </c>
      <c r="J27" s="122">
        <f t="shared" si="35"/>
        <v>5248.0499522745977</v>
      </c>
      <c r="K27" s="89">
        <f>'Peajes Actuales'!$I$5</f>
        <v>10.848000000000001</v>
      </c>
      <c r="L27" s="122">
        <f t="shared" si="36"/>
        <v>2678.2866552251089</v>
      </c>
      <c r="M27" s="87">
        <f>VLOOKUP(E27,'Peajes Actuales'!$B$11:$J$14,8,FALSE)</f>
        <v>80.97</v>
      </c>
      <c r="N27" s="90">
        <f>VLOOKUP(E27,'Peajes Actuales'!$B$11:$J$14,9,FALSE)</f>
        <v>13.012</v>
      </c>
      <c r="O27" s="123">
        <f t="shared" si="37"/>
        <v>971.64</v>
      </c>
      <c r="P27" s="123">
        <f t="shared" si="38"/>
        <v>45542</v>
      </c>
      <c r="Q27" s="122">
        <f t="shared" si="39"/>
        <v>46513.64</v>
      </c>
      <c r="R27" s="124">
        <f t="shared" si="40"/>
        <v>54439.976607499702</v>
      </c>
      <c r="S27" s="79">
        <f t="shared" si="41"/>
        <v>15.5542790307142</v>
      </c>
      <c r="U27" s="76" t="str">
        <f>IF(B27&gt;'Peajes Circular CNMC'!$C$23,'Peajes Circular CNMC'!$B$23,IF(B27&gt;'Peajes Circular CNMC'!$C$22,'Peajes Circular CNMC'!$B$22,IF(B27&gt;'Peajes Circular CNMC'!$C$21,'Peajes Circular CNMC'!$B$21,IF(B27&gt;'Peajes Circular CNMC'!$C$20,'Peajes Circular CNMC'!$B$20,IF(B27&gt;'Peajes Circular CNMC'!$C$19,'Peajes Circular CNMC'!$B$19,IF(B27&gt;'Peajes Circular CNMC'!$C$18,'Peajes Circular CNMC'!$B$18,IF(B27&gt;'Peajes Circular CNMC'!$C$17,'Peajes Circular CNMC'!$B$17,IF(B27&gt;'Peajes Circular CNMC'!$C$16,'Peajes Circular CNMC'!$B$16,IF(B27&gt;'Peajes Circular CNMC'!$C$15,'Peajes Circular CNMC'!$B$15,IF(B27&gt;'Peajes Circular CNMC'!$C$14,'Peajes Circular CNMC'!$B$14,'Peajes Circular CNMC'!$B$13))))))))))</f>
        <v>D.6</v>
      </c>
      <c r="V27" s="96">
        <f>'Peajes Circular CNMC'!$H$30</f>
        <v>29.867609999999999</v>
      </c>
      <c r="W27" s="88">
        <f>'Peajes Circular CNMC'!$I$30</f>
        <v>0.15190999999999999</v>
      </c>
      <c r="X27" s="123">
        <f t="shared" si="12"/>
        <v>7374.080133339603</v>
      </c>
      <c r="Y27" s="123">
        <f t="shared" si="13"/>
        <v>531.68499999999995</v>
      </c>
      <c r="Z27" s="122">
        <f t="shared" si="14"/>
        <v>7905.7651333396025</v>
      </c>
      <c r="AA27" s="88">
        <f>'Peajes Circular CNMC'!$H$35</f>
        <v>0.26106499999999999</v>
      </c>
      <c r="AB27" s="122">
        <f t="shared" si="15"/>
        <v>913.72749999999996</v>
      </c>
      <c r="AC27" s="97">
        <f>'Peajes Circular CNMC'!$J$6</f>
        <v>20.326666666666664</v>
      </c>
      <c r="AD27" s="97">
        <f>'Peajes Circular CNMC'!$J$7</f>
        <v>2.2599999999999999E-2</v>
      </c>
      <c r="AE27" s="123">
        <f t="shared" si="16"/>
        <v>5018.4955824615017</v>
      </c>
      <c r="AF27" s="123">
        <f t="shared" si="17"/>
        <v>79.099999999999994</v>
      </c>
      <c r="AG27" s="122">
        <f t="shared" si="18"/>
        <v>5097.5955824615021</v>
      </c>
      <c r="AH27" s="97">
        <f>'Peajes Circular CNMC'!$K$6</f>
        <v>12.351666666666667</v>
      </c>
      <c r="AI27" s="97">
        <f>'Peajes Circular CNMC'!$K$7</f>
        <v>2.2599999999999999E-2</v>
      </c>
      <c r="AJ27" s="123">
        <f t="shared" si="19"/>
        <v>3049.5302362760081</v>
      </c>
      <c r="AK27" s="123">
        <f t="shared" si="20"/>
        <v>79.099999999999994</v>
      </c>
      <c r="AL27" s="122">
        <f t="shared" si="21"/>
        <v>3128.630236276008</v>
      </c>
      <c r="AM27" s="98">
        <f>VLOOKUP(U27,'Peajes Circular CNMC'!$B$13:$J$23,7,FALSE)</f>
        <v>0</v>
      </c>
      <c r="AN27" s="87">
        <f>VLOOKUP(U27,'Peajes Circular CNMC'!$B$13:$J$23,8,FALSE)</f>
        <v>1110.8520000000001</v>
      </c>
      <c r="AO27" s="87">
        <f>VLOOKUP(U27,'Peajes Circular CNMC'!$B$13:$J$23,9,FALSE)</f>
        <v>8.702</v>
      </c>
      <c r="AP27" s="123">
        <f t="shared" si="22"/>
        <v>0</v>
      </c>
      <c r="AQ27" s="123">
        <f t="shared" si="23"/>
        <v>13330.224000000002</v>
      </c>
      <c r="AR27" s="123">
        <f t="shared" si="24"/>
        <v>30457</v>
      </c>
      <c r="AS27" s="122">
        <f t="shared" si="25"/>
        <v>43787.224000000002</v>
      </c>
      <c r="AT27" s="124">
        <f t="shared" si="26"/>
        <v>60832.942452077114</v>
      </c>
      <c r="AU27" s="79">
        <f t="shared" si="27"/>
        <v>17.38084070059346</v>
      </c>
      <c r="AW27" s="75">
        <f t="shared" si="28"/>
        <v>0.50641956635971119</v>
      </c>
      <c r="AX27" s="100">
        <f t="shared" si="29"/>
        <v>0.90330470135320573</v>
      </c>
      <c r="AY27" s="100">
        <f t="shared" si="30"/>
        <v>8.6472320006779364E-3</v>
      </c>
      <c r="AZ27" s="125">
        <f t="shared" si="0"/>
        <v>6392.9658445774112</v>
      </c>
      <c r="BA27" s="100">
        <f t="shared" si="1"/>
        <v>0.11743145833197713</v>
      </c>
      <c r="BB27" s="192">
        <f t="shared" si="31"/>
        <v>1.8265616698792595</v>
      </c>
    </row>
    <row r="28" spans="2:54">
      <c r="B28" s="105">
        <v>4000</v>
      </c>
      <c r="C28" s="112">
        <f>IF($C$5&lt;&gt;"Memoria CNMC",$C$5,IF(B28&gt;'Tipología Clientes'!$C$16,'Tipología Clientes'!$L$16,IF(B28&gt;'Tipología Clientes'!$C$15,'Tipología Clientes'!$L$15,IF(B28&gt;'Tipología Clientes'!$C$14,'Tipología Clientes'!$L$14,IF(B28&gt;'Tipología Clientes'!$C$13,'Tipología Clientes'!$L$13,IF(B28&gt;'Tipología Clientes'!$C$12,'Tipología Clientes'!$L$12,IF(B28&gt;'Tipología Clientes'!$C$11,'Tipología Clientes'!$L$11,IF(B28&gt;'Tipología Clientes'!$C$10,'Tipología Clientes'!$L$10,IF(B28&gt;'Tipología Clientes'!$C$9,'Tipología Clientes'!$L$9,IF(B28&gt;'Tipología Clientes'!$C$8,'Tipología Clientes'!$L$8,IF(B28&gt;'Tipología Clientes'!$C$7,'Tipología Clientes'!$L$7,'Tipología Clientes'!$L$6)))))))))))</f>
        <v>0.46606774195113709</v>
      </c>
      <c r="D28" s="113">
        <f t="shared" si="32"/>
        <v>23.513543468404173</v>
      </c>
      <c r="E28" s="76" t="str">
        <f>IF(B28&gt;'Peajes Actuales'!$C$14,'Peajes Actuales'!$B$14,IF(B28&gt;'Peajes Actuales'!$C$13,'Peajes Actuales'!$B$13,IF(B28&gt;'Peajes Actuales'!$C$12,'Peajes Actuales'!$B$12,'Peajes Actuales'!$B$11)))</f>
        <v>3.4</v>
      </c>
      <c r="F28" s="88">
        <f>'Peajes Actuales'!$H$29</f>
        <v>19.612000000000002</v>
      </c>
      <c r="G28" s="88">
        <f>'Peajes Actuales'!$I$29</f>
        <v>0.11599999999999999</v>
      </c>
      <c r="H28" s="123">
        <f t="shared" si="33"/>
        <v>5533.7713740281124</v>
      </c>
      <c r="I28" s="123">
        <f t="shared" si="34"/>
        <v>463.99999999999994</v>
      </c>
      <c r="J28" s="122">
        <f t="shared" si="35"/>
        <v>5997.7713740281124</v>
      </c>
      <c r="K28" s="89">
        <f>'Peajes Actuales'!$I$5</f>
        <v>10.848000000000001</v>
      </c>
      <c r="L28" s="122">
        <f t="shared" si="36"/>
        <v>3060.899034542982</v>
      </c>
      <c r="M28" s="87">
        <f>VLOOKUP(E28,'Peajes Actuales'!$B$11:$J$14,8,FALSE)</f>
        <v>80.97</v>
      </c>
      <c r="N28" s="90">
        <f>VLOOKUP(E28,'Peajes Actuales'!$B$11:$J$14,9,FALSE)</f>
        <v>13.012</v>
      </c>
      <c r="O28" s="123">
        <f t="shared" si="37"/>
        <v>971.64</v>
      </c>
      <c r="P28" s="123">
        <f t="shared" si="38"/>
        <v>52048</v>
      </c>
      <c r="Q28" s="122">
        <f t="shared" si="39"/>
        <v>53019.64</v>
      </c>
      <c r="R28" s="124">
        <f t="shared" si="40"/>
        <v>62078.310408571095</v>
      </c>
      <c r="S28" s="79">
        <f t="shared" si="41"/>
        <v>15.519577602142773</v>
      </c>
      <c r="U28" s="76" t="str">
        <f>IF(B28&gt;'Peajes Circular CNMC'!$C$23,'Peajes Circular CNMC'!$B$23,IF(B28&gt;'Peajes Circular CNMC'!$C$22,'Peajes Circular CNMC'!$B$22,IF(B28&gt;'Peajes Circular CNMC'!$C$21,'Peajes Circular CNMC'!$B$21,IF(B28&gt;'Peajes Circular CNMC'!$C$20,'Peajes Circular CNMC'!$B$20,IF(B28&gt;'Peajes Circular CNMC'!$C$19,'Peajes Circular CNMC'!$B$19,IF(B28&gt;'Peajes Circular CNMC'!$C$18,'Peajes Circular CNMC'!$B$18,IF(B28&gt;'Peajes Circular CNMC'!$C$17,'Peajes Circular CNMC'!$B$17,IF(B28&gt;'Peajes Circular CNMC'!$C$16,'Peajes Circular CNMC'!$B$16,IF(B28&gt;'Peajes Circular CNMC'!$C$15,'Peajes Circular CNMC'!$B$15,IF(B28&gt;'Peajes Circular CNMC'!$C$14,'Peajes Circular CNMC'!$B$14,'Peajes Circular CNMC'!$B$13))))))))))</f>
        <v>D.6</v>
      </c>
      <c r="V28" s="96">
        <f>'Peajes Circular CNMC'!$H$30</f>
        <v>29.867609999999999</v>
      </c>
      <c r="W28" s="88">
        <f>'Peajes Circular CNMC'!$I$30</f>
        <v>0.15190999999999999</v>
      </c>
      <c r="X28" s="123">
        <f t="shared" si="12"/>
        <v>8427.5201523881169</v>
      </c>
      <c r="Y28" s="123">
        <f t="shared" si="13"/>
        <v>607.64</v>
      </c>
      <c r="Z28" s="122">
        <f t="shared" si="14"/>
        <v>9035.1601523881163</v>
      </c>
      <c r="AA28" s="88">
        <f>'Peajes Circular CNMC'!$H$35</f>
        <v>0.26106499999999999</v>
      </c>
      <c r="AB28" s="122">
        <f t="shared" si="15"/>
        <v>1044.26</v>
      </c>
      <c r="AC28" s="97">
        <f>'Peajes Circular CNMC'!$J$6</f>
        <v>20.326666666666664</v>
      </c>
      <c r="AD28" s="97">
        <f>'Peajes Circular CNMC'!$J$7</f>
        <v>2.2599999999999999E-2</v>
      </c>
      <c r="AE28" s="123">
        <f t="shared" si="16"/>
        <v>5735.4235228131447</v>
      </c>
      <c r="AF28" s="123">
        <f t="shared" si="17"/>
        <v>90.399999999999991</v>
      </c>
      <c r="AG28" s="122">
        <f t="shared" si="18"/>
        <v>5825.8235228131443</v>
      </c>
      <c r="AH28" s="97">
        <f>'Peajes Circular CNMC'!$K$6</f>
        <v>12.351666666666667</v>
      </c>
      <c r="AI28" s="97">
        <f>'Peajes Circular CNMC'!$K$7</f>
        <v>2.2599999999999999E-2</v>
      </c>
      <c r="AJ28" s="123">
        <f t="shared" si="19"/>
        <v>3485.1774128868665</v>
      </c>
      <c r="AK28" s="123">
        <f t="shared" si="20"/>
        <v>90.399999999999991</v>
      </c>
      <c r="AL28" s="122">
        <f t="shared" si="21"/>
        <v>3575.5774128868666</v>
      </c>
      <c r="AM28" s="98">
        <f>VLOOKUP(U28,'Peajes Circular CNMC'!$B$13:$J$23,7,FALSE)</f>
        <v>0</v>
      </c>
      <c r="AN28" s="87">
        <f>VLOOKUP(U28,'Peajes Circular CNMC'!$B$13:$J$23,8,FALSE)</f>
        <v>1110.8520000000001</v>
      </c>
      <c r="AO28" s="87">
        <f>VLOOKUP(U28,'Peajes Circular CNMC'!$B$13:$J$23,9,FALSE)</f>
        <v>8.702</v>
      </c>
      <c r="AP28" s="123">
        <f t="shared" si="22"/>
        <v>0</v>
      </c>
      <c r="AQ28" s="123">
        <f t="shared" si="23"/>
        <v>13330.224000000002</v>
      </c>
      <c r="AR28" s="123">
        <f t="shared" si="24"/>
        <v>34808</v>
      </c>
      <c r="AS28" s="122">
        <f t="shared" si="25"/>
        <v>48138.224000000002</v>
      </c>
      <c r="AT28" s="124">
        <f t="shared" si="26"/>
        <v>67619.045088088125</v>
      </c>
      <c r="AU28" s="79">
        <f t="shared" si="27"/>
        <v>16.904761272022032</v>
      </c>
      <c r="AW28" s="75">
        <f t="shared" si="28"/>
        <v>0.50641956635971086</v>
      </c>
      <c r="AX28" s="100">
        <f t="shared" si="29"/>
        <v>0.90330470135320517</v>
      </c>
      <c r="AY28" s="100">
        <f t="shared" si="30"/>
        <v>-2.4629337111929321E-2</v>
      </c>
      <c r="AZ28" s="125">
        <f t="shared" si="0"/>
        <v>5540.7346795170306</v>
      </c>
      <c r="BA28" s="100">
        <f t="shared" si="1"/>
        <v>8.9253954288550139E-2</v>
      </c>
      <c r="BB28" s="192">
        <f t="shared" si="31"/>
        <v>1.3851836698792592</v>
      </c>
    </row>
    <row r="29" spans="2:54">
      <c r="B29" s="105">
        <v>4500</v>
      </c>
      <c r="C29" s="112">
        <f>IF($C$5&lt;&gt;"Memoria CNMC",$C$5,IF(B29&gt;'Tipología Clientes'!$C$16,'Tipología Clientes'!$L$16,IF(B29&gt;'Tipología Clientes'!$C$15,'Tipología Clientes'!$L$15,IF(B29&gt;'Tipología Clientes'!$C$14,'Tipología Clientes'!$L$14,IF(B29&gt;'Tipología Clientes'!$C$13,'Tipología Clientes'!$L$13,IF(B29&gt;'Tipología Clientes'!$C$12,'Tipología Clientes'!$L$12,IF(B29&gt;'Tipología Clientes'!$C$11,'Tipología Clientes'!$L$11,IF(B29&gt;'Tipología Clientes'!$C$10,'Tipología Clientes'!$L$10,IF(B29&gt;'Tipología Clientes'!$C$9,'Tipología Clientes'!$L$9,IF(B29&gt;'Tipología Clientes'!$C$8,'Tipología Clientes'!$L$8,IF(B29&gt;'Tipología Clientes'!$C$7,'Tipología Clientes'!$L$7,'Tipología Clientes'!$L$6)))))))))))</f>
        <v>0.46606774195113709</v>
      </c>
      <c r="D29" s="113">
        <f t="shared" si="32"/>
        <v>26.452736401954695</v>
      </c>
      <c r="E29" s="76" t="str">
        <f>IF(B29&gt;'Peajes Actuales'!$C$14,'Peajes Actuales'!$B$14,IF(B29&gt;'Peajes Actuales'!$C$13,'Peajes Actuales'!$B$13,IF(B29&gt;'Peajes Actuales'!$C$12,'Peajes Actuales'!$B$12,'Peajes Actuales'!$B$11)))</f>
        <v>3.4</v>
      </c>
      <c r="F29" s="88">
        <f>'Peajes Actuales'!$H$29</f>
        <v>19.612000000000002</v>
      </c>
      <c r="G29" s="88">
        <f>'Peajes Actuales'!$I$29</f>
        <v>0.11599999999999999</v>
      </c>
      <c r="H29" s="123">
        <f t="shared" si="33"/>
        <v>6225.4927957816253</v>
      </c>
      <c r="I29" s="123">
        <f t="shared" si="34"/>
        <v>522</v>
      </c>
      <c r="J29" s="122">
        <f t="shared" si="35"/>
        <v>6747.4927957816253</v>
      </c>
      <c r="K29" s="89">
        <f>'Peajes Actuales'!$I$5</f>
        <v>10.848000000000001</v>
      </c>
      <c r="L29" s="122">
        <f t="shared" si="36"/>
        <v>3443.5114138608546</v>
      </c>
      <c r="M29" s="87">
        <f>VLOOKUP(E29,'Peajes Actuales'!$B$11:$J$14,8,FALSE)</f>
        <v>80.97</v>
      </c>
      <c r="N29" s="90">
        <f>VLOOKUP(E29,'Peajes Actuales'!$B$11:$J$14,9,FALSE)</f>
        <v>13.012</v>
      </c>
      <c r="O29" s="123">
        <f t="shared" si="37"/>
        <v>971.64</v>
      </c>
      <c r="P29" s="123">
        <f t="shared" si="38"/>
        <v>58554</v>
      </c>
      <c r="Q29" s="122">
        <f t="shared" si="39"/>
        <v>59525.64</v>
      </c>
      <c r="R29" s="124">
        <f t="shared" si="40"/>
        <v>69716.644209642487</v>
      </c>
      <c r="S29" s="79">
        <f t="shared" si="41"/>
        <v>15.492587602142775</v>
      </c>
      <c r="U29" s="76" t="str">
        <f>IF(B29&gt;'Peajes Circular CNMC'!$C$23,'Peajes Circular CNMC'!$B$23,IF(B29&gt;'Peajes Circular CNMC'!$C$22,'Peajes Circular CNMC'!$B$22,IF(B29&gt;'Peajes Circular CNMC'!$C$21,'Peajes Circular CNMC'!$B$21,IF(B29&gt;'Peajes Circular CNMC'!$C$20,'Peajes Circular CNMC'!$B$20,IF(B29&gt;'Peajes Circular CNMC'!$C$19,'Peajes Circular CNMC'!$B$19,IF(B29&gt;'Peajes Circular CNMC'!$C$18,'Peajes Circular CNMC'!$B$18,IF(B29&gt;'Peajes Circular CNMC'!$C$17,'Peajes Circular CNMC'!$B$17,IF(B29&gt;'Peajes Circular CNMC'!$C$16,'Peajes Circular CNMC'!$B$16,IF(B29&gt;'Peajes Circular CNMC'!$C$15,'Peajes Circular CNMC'!$B$15,IF(B29&gt;'Peajes Circular CNMC'!$C$14,'Peajes Circular CNMC'!$B$14,'Peajes Circular CNMC'!$B$13))))))))))</f>
        <v>D.6</v>
      </c>
      <c r="V29" s="96">
        <f>'Peajes Circular CNMC'!$H$30</f>
        <v>29.867609999999999</v>
      </c>
      <c r="W29" s="88">
        <f>'Peajes Circular CNMC'!$I$30</f>
        <v>0.15190999999999999</v>
      </c>
      <c r="X29" s="123">
        <f t="shared" si="12"/>
        <v>9480.9601714366327</v>
      </c>
      <c r="Y29" s="123">
        <f t="shared" si="13"/>
        <v>683.59499999999991</v>
      </c>
      <c r="Z29" s="122">
        <f t="shared" si="14"/>
        <v>10164.555171436632</v>
      </c>
      <c r="AA29" s="88">
        <f>'Peajes Circular CNMC'!$H$35</f>
        <v>0.26106499999999999</v>
      </c>
      <c r="AB29" s="122">
        <f t="shared" si="15"/>
        <v>1174.7925</v>
      </c>
      <c r="AC29" s="97">
        <f>'Peajes Circular CNMC'!$J$6</f>
        <v>20.326666666666664</v>
      </c>
      <c r="AD29" s="97">
        <f>'Peajes Circular CNMC'!$J$7</f>
        <v>2.2599999999999999E-2</v>
      </c>
      <c r="AE29" s="123">
        <f t="shared" si="16"/>
        <v>6452.3514631647886</v>
      </c>
      <c r="AF29" s="123">
        <f t="shared" si="17"/>
        <v>101.69999999999999</v>
      </c>
      <c r="AG29" s="122">
        <f t="shared" si="18"/>
        <v>6554.0514631647884</v>
      </c>
      <c r="AH29" s="97">
        <f>'Peajes Circular CNMC'!$K$6</f>
        <v>12.351666666666667</v>
      </c>
      <c r="AI29" s="97">
        <f>'Peajes Circular CNMC'!$K$7</f>
        <v>2.2599999999999999E-2</v>
      </c>
      <c r="AJ29" s="123">
        <f t="shared" si="19"/>
        <v>3920.8245894977249</v>
      </c>
      <c r="AK29" s="123">
        <f t="shared" si="20"/>
        <v>101.69999999999999</v>
      </c>
      <c r="AL29" s="122">
        <f t="shared" si="21"/>
        <v>4022.5245894977247</v>
      </c>
      <c r="AM29" s="98">
        <f>VLOOKUP(U29,'Peajes Circular CNMC'!$B$13:$J$23,7,FALSE)</f>
        <v>0</v>
      </c>
      <c r="AN29" s="87">
        <f>VLOOKUP(U29,'Peajes Circular CNMC'!$B$13:$J$23,8,FALSE)</f>
        <v>1110.8520000000001</v>
      </c>
      <c r="AO29" s="87">
        <f>VLOOKUP(U29,'Peajes Circular CNMC'!$B$13:$J$23,9,FALSE)</f>
        <v>8.702</v>
      </c>
      <c r="AP29" s="123">
        <f t="shared" si="22"/>
        <v>0</v>
      </c>
      <c r="AQ29" s="123">
        <f t="shared" si="23"/>
        <v>13330.224000000002</v>
      </c>
      <c r="AR29" s="123">
        <f t="shared" si="24"/>
        <v>39159</v>
      </c>
      <c r="AS29" s="122">
        <f t="shared" si="25"/>
        <v>52489.224000000002</v>
      </c>
      <c r="AT29" s="124">
        <f t="shared" si="26"/>
        <v>74405.147724099137</v>
      </c>
      <c r="AU29" s="79">
        <f t="shared" si="27"/>
        <v>16.534477272022031</v>
      </c>
      <c r="AW29" s="75">
        <f t="shared" si="28"/>
        <v>0.5064195663597113</v>
      </c>
      <c r="AX29" s="100">
        <f t="shared" si="29"/>
        <v>0.90330470135320551</v>
      </c>
      <c r="AY29" s="100">
        <f t="shared" si="30"/>
        <v>-5.0631818666750504E-2</v>
      </c>
      <c r="AZ29" s="125">
        <f t="shared" si="0"/>
        <v>4688.50351445665</v>
      </c>
      <c r="BA29" s="100">
        <f t="shared" si="1"/>
        <v>6.7250849027644166E-2</v>
      </c>
      <c r="BB29" s="192">
        <f t="shared" si="31"/>
        <v>1.0418896698792555</v>
      </c>
    </row>
    <row r="30" spans="2:54">
      <c r="B30" s="105">
        <v>5000</v>
      </c>
      <c r="C30" s="187">
        <v>0.85</v>
      </c>
      <c r="D30" s="113">
        <f t="shared" si="32"/>
        <v>16.116035455278002</v>
      </c>
      <c r="E30" s="76" t="str">
        <f>IF(B30&gt;'Peajes Actuales'!$C$14,'Peajes Actuales'!$B$14,IF(B30&gt;'Peajes Actuales'!$C$13,'Peajes Actuales'!$B$13,IF(B30&gt;'Peajes Actuales'!$C$12,'Peajes Actuales'!$B$12,'Peajes Actuales'!$B$11)))</f>
        <v>3.4</v>
      </c>
      <c r="F30" s="88">
        <f>'Peajes Actuales'!$H$29</f>
        <v>19.612000000000002</v>
      </c>
      <c r="G30" s="88">
        <f>'Peajes Actuales'!$I$29</f>
        <v>0.11599999999999999</v>
      </c>
      <c r="H30" s="123">
        <f t="shared" si="33"/>
        <v>3792.8122481869468</v>
      </c>
      <c r="I30" s="123">
        <f t="shared" si="34"/>
        <v>580</v>
      </c>
      <c r="J30" s="122">
        <f t="shared" si="35"/>
        <v>4372.8122481869468</v>
      </c>
      <c r="K30" s="89">
        <f>'Peajes Actuales'!$I$5</f>
        <v>10.848000000000001</v>
      </c>
      <c r="L30" s="122">
        <f t="shared" si="36"/>
        <v>2097.9210314262696</v>
      </c>
      <c r="M30" s="87">
        <f>VLOOKUP(E30,'Peajes Actuales'!$B$11:$J$14,8,FALSE)</f>
        <v>80.97</v>
      </c>
      <c r="N30" s="90">
        <f>VLOOKUP(E30,'Peajes Actuales'!$B$11:$J$14,9,FALSE)</f>
        <v>13.012</v>
      </c>
      <c r="O30" s="123">
        <f t="shared" si="37"/>
        <v>971.64</v>
      </c>
      <c r="P30" s="123">
        <f t="shared" si="38"/>
        <v>65060</v>
      </c>
      <c r="Q30" s="122">
        <f t="shared" si="39"/>
        <v>66031.64</v>
      </c>
      <c r="R30" s="124">
        <f t="shared" si="40"/>
        <v>72502.37327961321</v>
      </c>
      <c r="S30" s="79">
        <f t="shared" si="41"/>
        <v>14.500474655922641</v>
      </c>
      <c r="U30" s="76" t="str">
        <f>IF(B30&gt;'Peajes Circular CNMC'!$C$23,'Peajes Circular CNMC'!$B$23,IF(B30&gt;'Peajes Circular CNMC'!$C$22,'Peajes Circular CNMC'!$B$22,IF(B30&gt;'Peajes Circular CNMC'!$C$21,'Peajes Circular CNMC'!$B$21,IF(B30&gt;'Peajes Circular CNMC'!$C$20,'Peajes Circular CNMC'!$B$20,IF(B30&gt;'Peajes Circular CNMC'!$C$19,'Peajes Circular CNMC'!$B$19,IF(B30&gt;'Peajes Circular CNMC'!$C$18,'Peajes Circular CNMC'!$B$18,IF(B30&gt;'Peajes Circular CNMC'!$C$17,'Peajes Circular CNMC'!$B$17,IF(B30&gt;'Peajes Circular CNMC'!$C$16,'Peajes Circular CNMC'!$B$16,IF(B30&gt;'Peajes Circular CNMC'!$C$15,'Peajes Circular CNMC'!$B$15,IF(B30&gt;'Peajes Circular CNMC'!$C$14,'Peajes Circular CNMC'!$B$14,'Peajes Circular CNMC'!$B$13))))))))))</f>
        <v>D.6</v>
      </c>
      <c r="V30" s="96">
        <f>'Peajes Circular CNMC'!$H$30</f>
        <v>29.867609999999999</v>
      </c>
      <c r="W30" s="88">
        <f>'Peajes Circular CNMC'!$I$30</f>
        <v>0.15190999999999999</v>
      </c>
      <c r="X30" s="123">
        <f t="shared" si="12"/>
        <v>5776.1695406929894</v>
      </c>
      <c r="Y30" s="123">
        <f t="shared" si="13"/>
        <v>759.55</v>
      </c>
      <c r="Z30" s="122">
        <f t="shared" si="14"/>
        <v>6535.7195406929895</v>
      </c>
      <c r="AA30" s="88">
        <f>'Peajes Circular CNMC'!$H$35</f>
        <v>0.26106499999999999</v>
      </c>
      <c r="AB30" s="122">
        <f t="shared" si="15"/>
        <v>1305.325</v>
      </c>
      <c r="AC30" s="97">
        <f>'Peajes Circular CNMC'!$J$6</f>
        <v>20.326666666666664</v>
      </c>
      <c r="AD30" s="97">
        <f>'Peajes Circular CNMC'!$J$7</f>
        <v>2.2599999999999999E-2</v>
      </c>
      <c r="AE30" s="123">
        <f t="shared" si="16"/>
        <v>3931.0233682514095</v>
      </c>
      <c r="AF30" s="123">
        <f t="shared" si="17"/>
        <v>112.99999999999999</v>
      </c>
      <c r="AG30" s="122">
        <f t="shared" si="18"/>
        <v>4044.0233682514095</v>
      </c>
      <c r="AH30" s="97">
        <f>'Peajes Circular CNMC'!$K$6</f>
        <v>12.351666666666667</v>
      </c>
      <c r="AI30" s="97">
        <f>'Peajes Circular CNMC'!$K$7</f>
        <v>2.2599999999999999E-2</v>
      </c>
      <c r="AJ30" s="123">
        <f t="shared" si="19"/>
        <v>2388.7187751813053</v>
      </c>
      <c r="AK30" s="123">
        <f t="shared" si="20"/>
        <v>112.99999999999999</v>
      </c>
      <c r="AL30" s="122">
        <f t="shared" si="21"/>
        <v>2501.7187751813053</v>
      </c>
      <c r="AM30" s="98">
        <f>VLOOKUP(U30,'Peajes Circular CNMC'!$B$13:$J$23,7,FALSE)</f>
        <v>0</v>
      </c>
      <c r="AN30" s="87">
        <f>VLOOKUP(U30,'Peajes Circular CNMC'!$B$13:$J$23,8,FALSE)</f>
        <v>1110.8520000000001</v>
      </c>
      <c r="AO30" s="87">
        <f>VLOOKUP(U30,'Peajes Circular CNMC'!$B$13:$J$23,9,FALSE)</f>
        <v>8.702</v>
      </c>
      <c r="AP30" s="123">
        <f t="shared" si="22"/>
        <v>0</v>
      </c>
      <c r="AQ30" s="123">
        <f t="shared" si="23"/>
        <v>13330.224000000002</v>
      </c>
      <c r="AR30" s="123">
        <f t="shared" si="24"/>
        <v>43510</v>
      </c>
      <c r="AS30" s="122">
        <f t="shared" si="25"/>
        <v>56840.224000000002</v>
      </c>
      <c r="AT30" s="124">
        <f t="shared" si="26"/>
        <v>71227.010684125707</v>
      </c>
      <c r="AU30" s="79">
        <f t="shared" si="27"/>
        <v>14.245402136825142</v>
      </c>
      <c r="AW30" s="75">
        <f t="shared" si="28"/>
        <v>0.49462615126062781</v>
      </c>
      <c r="AX30" s="100">
        <f t="shared" si="29"/>
        <v>0.92763374201081539</v>
      </c>
      <c r="AY30" s="100">
        <f t="shared" si="30"/>
        <v>-0.10131048123019047</v>
      </c>
      <c r="AZ30" s="125">
        <f t="shared" si="0"/>
        <v>-1275.3625954875024</v>
      </c>
      <c r="BA30" s="100">
        <f t="shared" si="1"/>
        <v>-1.7590632386183129E-2</v>
      </c>
      <c r="BB30" s="192">
        <f t="shared" si="31"/>
        <v>-0.2550725190974994</v>
      </c>
    </row>
    <row r="31" spans="2:54">
      <c r="B31" s="105">
        <v>5500</v>
      </c>
      <c r="C31" s="187">
        <v>0.85</v>
      </c>
      <c r="D31" s="113">
        <f t="shared" si="32"/>
        <v>17.727639000805802</v>
      </c>
      <c r="E31" s="76" t="str">
        <f>IF(B31&gt;'Peajes Actuales'!$C$14,'Peajes Actuales'!$B$14,IF(B31&gt;'Peajes Actuales'!$C$13,'Peajes Actuales'!$B$13,IF(B31&gt;'Peajes Actuales'!$C$12,'Peajes Actuales'!$B$12,'Peajes Actuales'!$B$11)))</f>
        <v>3.4</v>
      </c>
      <c r="F31" s="88">
        <f>'Peajes Actuales'!$H$29</f>
        <v>19.612000000000002</v>
      </c>
      <c r="G31" s="88">
        <f>'Peajes Actuales'!$I$29</f>
        <v>0.11599999999999999</v>
      </c>
      <c r="H31" s="123">
        <f t="shared" si="33"/>
        <v>4172.0934730056415</v>
      </c>
      <c r="I31" s="123">
        <f t="shared" si="34"/>
        <v>638</v>
      </c>
      <c r="J31" s="122">
        <f t="shared" si="35"/>
        <v>4810.0934730056415</v>
      </c>
      <c r="K31" s="89">
        <f>'Peajes Actuales'!$I$5</f>
        <v>10.848000000000001</v>
      </c>
      <c r="L31" s="122">
        <f t="shared" si="36"/>
        <v>2307.7131345688963</v>
      </c>
      <c r="M31" s="87">
        <f>VLOOKUP(E31,'Peajes Actuales'!$B$11:$J$14,8,FALSE)</f>
        <v>80.97</v>
      </c>
      <c r="N31" s="90">
        <f>VLOOKUP(E31,'Peajes Actuales'!$B$11:$J$14,9,FALSE)</f>
        <v>13.012</v>
      </c>
      <c r="O31" s="123">
        <f t="shared" si="37"/>
        <v>971.64</v>
      </c>
      <c r="P31" s="123">
        <f t="shared" si="38"/>
        <v>71566</v>
      </c>
      <c r="Q31" s="122">
        <f t="shared" si="39"/>
        <v>72537.64</v>
      </c>
      <c r="R31" s="124">
        <f t="shared" si="40"/>
        <v>79655.446607574529</v>
      </c>
      <c r="S31" s="79">
        <f t="shared" si="41"/>
        <v>14.482808474104459</v>
      </c>
      <c r="U31" s="76" t="str">
        <f>IF(B31&gt;'Peajes Circular CNMC'!$C$23,'Peajes Circular CNMC'!$B$23,IF(B31&gt;'Peajes Circular CNMC'!$C$22,'Peajes Circular CNMC'!$B$22,IF(B31&gt;'Peajes Circular CNMC'!$C$21,'Peajes Circular CNMC'!$B$21,IF(B31&gt;'Peajes Circular CNMC'!$C$20,'Peajes Circular CNMC'!$B$20,IF(B31&gt;'Peajes Circular CNMC'!$C$19,'Peajes Circular CNMC'!$B$19,IF(B31&gt;'Peajes Circular CNMC'!$C$18,'Peajes Circular CNMC'!$B$18,IF(B31&gt;'Peajes Circular CNMC'!$C$17,'Peajes Circular CNMC'!$B$17,IF(B31&gt;'Peajes Circular CNMC'!$C$16,'Peajes Circular CNMC'!$B$16,IF(B31&gt;'Peajes Circular CNMC'!$C$15,'Peajes Circular CNMC'!$B$15,IF(B31&gt;'Peajes Circular CNMC'!$C$14,'Peajes Circular CNMC'!$B$14,'Peajes Circular CNMC'!$B$13))))))))))</f>
        <v>D.7</v>
      </c>
      <c r="V31" s="96">
        <f>'Peajes Circular CNMC'!$H$30</f>
        <v>29.867609999999999</v>
      </c>
      <c r="W31" s="88">
        <f>'Peajes Circular CNMC'!$I$30</f>
        <v>0.15190999999999999</v>
      </c>
      <c r="X31" s="123">
        <f t="shared" si="12"/>
        <v>6353.7864947622884</v>
      </c>
      <c r="Y31" s="123">
        <f t="shared" si="13"/>
        <v>835.505</v>
      </c>
      <c r="Z31" s="122">
        <f t="shared" si="14"/>
        <v>7189.2914947622885</v>
      </c>
      <c r="AA31" s="88">
        <f>'Peajes Circular CNMC'!$H$35</f>
        <v>0.26106499999999999</v>
      </c>
      <c r="AB31" s="122">
        <f t="shared" si="15"/>
        <v>1435.8574999999998</v>
      </c>
      <c r="AC31" s="97">
        <f>'Peajes Circular CNMC'!$J$6</f>
        <v>20.326666666666664</v>
      </c>
      <c r="AD31" s="97">
        <f>'Peajes Circular CNMC'!$J$7</f>
        <v>2.2599999999999999E-2</v>
      </c>
      <c r="AE31" s="123">
        <f t="shared" si="16"/>
        <v>4324.1257050765507</v>
      </c>
      <c r="AF31" s="123">
        <f t="shared" si="17"/>
        <v>124.3</v>
      </c>
      <c r="AG31" s="122">
        <f t="shared" si="18"/>
        <v>4448.4257050765509</v>
      </c>
      <c r="AH31" s="97">
        <f>'Peajes Circular CNMC'!$K$6</f>
        <v>12.351666666666667</v>
      </c>
      <c r="AI31" s="97">
        <f>'Peajes Circular CNMC'!$K$7</f>
        <v>2.2599999999999999E-2</v>
      </c>
      <c r="AJ31" s="123">
        <f t="shared" si="19"/>
        <v>2627.5906526994359</v>
      </c>
      <c r="AK31" s="123">
        <f t="shared" si="20"/>
        <v>124.3</v>
      </c>
      <c r="AL31" s="122">
        <f t="shared" si="21"/>
        <v>2751.890652699436</v>
      </c>
      <c r="AM31" s="98">
        <f>VLOOKUP(U31,'Peajes Circular CNMC'!$B$13:$J$23,7,FALSE)</f>
        <v>86.737500000000011</v>
      </c>
      <c r="AN31" s="87">
        <f>VLOOKUP(U31,'Peajes Circular CNMC'!$B$13:$J$23,8,FALSE)</f>
        <v>0</v>
      </c>
      <c r="AO31" s="87">
        <f>VLOOKUP(U31,'Peajes Circular CNMC'!$B$13:$J$23,9,FALSE)</f>
        <v>1.0900000000000001</v>
      </c>
      <c r="AP31" s="123">
        <f t="shared" si="22"/>
        <v>18451.813053988721</v>
      </c>
      <c r="AQ31" s="123">
        <f t="shared" si="23"/>
        <v>0</v>
      </c>
      <c r="AR31" s="123">
        <f t="shared" si="24"/>
        <v>5995</v>
      </c>
      <c r="AS31" s="122">
        <f t="shared" si="25"/>
        <v>24446.813053988721</v>
      </c>
      <c r="AT31" s="124">
        <f t="shared" si="26"/>
        <v>40272.278406526995</v>
      </c>
      <c r="AU31" s="79">
        <f t="shared" si="27"/>
        <v>7.3222324375503627</v>
      </c>
      <c r="AW31" s="75">
        <f t="shared" si="28"/>
        <v>0.49462615126062781</v>
      </c>
      <c r="AX31" s="100">
        <f t="shared" si="29"/>
        <v>0.92763374201081583</v>
      </c>
      <c r="AY31" s="100">
        <f t="shared" si="30"/>
        <v>-0.62504013493286847</v>
      </c>
      <c r="AZ31" s="125">
        <f t="shared" si="0"/>
        <v>-39383.168201047534</v>
      </c>
      <c r="BA31" s="100">
        <f t="shared" si="1"/>
        <v>-0.49441902441486713</v>
      </c>
      <c r="BB31" s="192">
        <f t="shared" si="31"/>
        <v>-7.1605760365540965</v>
      </c>
    </row>
    <row r="32" spans="2:54">
      <c r="B32" s="105">
        <v>6000</v>
      </c>
      <c r="C32" s="187">
        <v>0.85</v>
      </c>
      <c r="D32" s="113">
        <f t="shared" si="32"/>
        <v>19.339242546333605</v>
      </c>
      <c r="E32" s="76" t="str">
        <f>IF(B32&gt;'Peajes Actuales'!$C$14,'Peajes Actuales'!$B$14,IF(B32&gt;'Peajes Actuales'!$C$13,'Peajes Actuales'!$B$13,IF(B32&gt;'Peajes Actuales'!$C$12,'Peajes Actuales'!$B$12,'Peajes Actuales'!$B$11)))</f>
        <v>3.4</v>
      </c>
      <c r="F32" s="88">
        <f>'Peajes Actuales'!$H$29</f>
        <v>19.612000000000002</v>
      </c>
      <c r="G32" s="88">
        <f>'Peajes Actuales'!$I$29</f>
        <v>0.11599999999999999</v>
      </c>
      <c r="H32" s="123">
        <f t="shared" si="33"/>
        <v>4551.3746978243362</v>
      </c>
      <c r="I32" s="123">
        <f t="shared" si="34"/>
        <v>696</v>
      </c>
      <c r="J32" s="122">
        <f t="shared" si="35"/>
        <v>5247.3746978243362</v>
      </c>
      <c r="K32" s="89">
        <f>'Peajes Actuales'!$I$5</f>
        <v>10.848000000000001</v>
      </c>
      <c r="L32" s="122">
        <f t="shared" si="36"/>
        <v>2517.5052377115235</v>
      </c>
      <c r="M32" s="87">
        <f>VLOOKUP(E32,'Peajes Actuales'!$B$11:$J$14,8,FALSE)</f>
        <v>80.97</v>
      </c>
      <c r="N32" s="90">
        <f>VLOOKUP(E32,'Peajes Actuales'!$B$11:$J$14,9,FALSE)</f>
        <v>13.012</v>
      </c>
      <c r="O32" s="123">
        <f t="shared" si="37"/>
        <v>971.64</v>
      </c>
      <c r="P32" s="123">
        <f t="shared" si="38"/>
        <v>78072</v>
      </c>
      <c r="Q32" s="122">
        <f t="shared" si="39"/>
        <v>79043.64</v>
      </c>
      <c r="R32" s="124">
        <f t="shared" si="40"/>
        <v>86808.519935535864</v>
      </c>
      <c r="S32" s="79">
        <f t="shared" si="41"/>
        <v>14.468086655922644</v>
      </c>
      <c r="U32" s="76" t="str">
        <f>IF(B32&gt;'Peajes Circular CNMC'!$C$23,'Peajes Circular CNMC'!$B$23,IF(B32&gt;'Peajes Circular CNMC'!$C$22,'Peajes Circular CNMC'!$B$22,IF(B32&gt;'Peajes Circular CNMC'!$C$21,'Peajes Circular CNMC'!$B$21,IF(B32&gt;'Peajes Circular CNMC'!$C$20,'Peajes Circular CNMC'!$B$20,IF(B32&gt;'Peajes Circular CNMC'!$C$19,'Peajes Circular CNMC'!$B$19,IF(B32&gt;'Peajes Circular CNMC'!$C$18,'Peajes Circular CNMC'!$B$18,IF(B32&gt;'Peajes Circular CNMC'!$C$17,'Peajes Circular CNMC'!$B$17,IF(B32&gt;'Peajes Circular CNMC'!$C$16,'Peajes Circular CNMC'!$B$16,IF(B32&gt;'Peajes Circular CNMC'!$C$15,'Peajes Circular CNMC'!$B$15,IF(B32&gt;'Peajes Circular CNMC'!$C$14,'Peajes Circular CNMC'!$B$14,'Peajes Circular CNMC'!$B$13))))))))))</f>
        <v>D.7</v>
      </c>
      <c r="V32" s="96">
        <f>'Peajes Circular CNMC'!$H$30</f>
        <v>29.867609999999999</v>
      </c>
      <c r="W32" s="88">
        <f>'Peajes Circular CNMC'!$I$30</f>
        <v>0.15190999999999999</v>
      </c>
      <c r="X32" s="123">
        <f t="shared" si="12"/>
        <v>6931.4034488315883</v>
      </c>
      <c r="Y32" s="123">
        <f t="shared" si="13"/>
        <v>911.45999999999992</v>
      </c>
      <c r="Z32" s="122">
        <f t="shared" si="14"/>
        <v>7842.8634488315884</v>
      </c>
      <c r="AA32" s="88">
        <f>'Peajes Circular CNMC'!$H$35</f>
        <v>0.26106499999999999</v>
      </c>
      <c r="AB32" s="122">
        <f t="shared" si="15"/>
        <v>1566.3899999999999</v>
      </c>
      <c r="AC32" s="97">
        <f>'Peajes Circular CNMC'!$J$6</f>
        <v>20.326666666666664</v>
      </c>
      <c r="AD32" s="97">
        <f>'Peajes Circular CNMC'!$J$7</f>
        <v>2.2599999999999999E-2</v>
      </c>
      <c r="AE32" s="123">
        <f t="shared" si="16"/>
        <v>4717.2280419016924</v>
      </c>
      <c r="AF32" s="123">
        <f t="shared" si="17"/>
        <v>135.6</v>
      </c>
      <c r="AG32" s="122">
        <f t="shared" si="18"/>
        <v>4852.8280419016928</v>
      </c>
      <c r="AH32" s="97">
        <f>'Peajes Circular CNMC'!$K$6</f>
        <v>12.351666666666667</v>
      </c>
      <c r="AI32" s="97">
        <f>'Peajes Circular CNMC'!$K$7</f>
        <v>2.2599999999999999E-2</v>
      </c>
      <c r="AJ32" s="123">
        <f t="shared" si="19"/>
        <v>2866.4625302175668</v>
      </c>
      <c r="AK32" s="123">
        <f t="shared" si="20"/>
        <v>135.6</v>
      </c>
      <c r="AL32" s="122">
        <f t="shared" si="21"/>
        <v>3002.0625302175667</v>
      </c>
      <c r="AM32" s="98">
        <f>VLOOKUP(U32,'Peajes Circular CNMC'!$B$13:$J$23,7,FALSE)</f>
        <v>86.737500000000011</v>
      </c>
      <c r="AN32" s="87">
        <f>VLOOKUP(U32,'Peajes Circular CNMC'!$B$13:$J$23,8,FALSE)</f>
        <v>0</v>
      </c>
      <c r="AO32" s="87">
        <f>VLOOKUP(U32,'Peajes Circular CNMC'!$B$13:$J$23,9,FALSE)</f>
        <v>1.0900000000000001</v>
      </c>
      <c r="AP32" s="123">
        <f t="shared" si="22"/>
        <v>20129.250604351335</v>
      </c>
      <c r="AQ32" s="123">
        <f t="shared" si="23"/>
        <v>0</v>
      </c>
      <c r="AR32" s="123">
        <f t="shared" si="24"/>
        <v>6540.0000000000009</v>
      </c>
      <c r="AS32" s="122">
        <f t="shared" si="25"/>
        <v>26669.250604351335</v>
      </c>
      <c r="AT32" s="124">
        <f t="shared" si="26"/>
        <v>43933.394625302186</v>
      </c>
      <c r="AU32" s="79">
        <f t="shared" ref="AU32:AU34" si="42">AT32/B32</f>
        <v>7.3222324375503645</v>
      </c>
      <c r="AW32" s="75">
        <f t="shared" si="28"/>
        <v>0.49462615126062798</v>
      </c>
      <c r="AX32" s="100">
        <f t="shared" si="29"/>
        <v>0.92763374201081594</v>
      </c>
      <c r="AY32" s="100">
        <f t="shared" si="30"/>
        <v>-0.62462111898479244</v>
      </c>
      <c r="AZ32" s="125">
        <f t="shared" si="0"/>
        <v>-42875.125310233678</v>
      </c>
      <c r="BA32" s="100">
        <f t="shared" si="1"/>
        <v>-0.49390457690181572</v>
      </c>
      <c r="BB32" s="192">
        <f t="shared" si="31"/>
        <v>-7.1458542183722793</v>
      </c>
    </row>
    <row r="33" spans="1:54">
      <c r="B33" s="105">
        <v>7000</v>
      </c>
      <c r="C33" s="187">
        <v>0.85</v>
      </c>
      <c r="D33" s="113">
        <f t="shared" ref="D33:D34" si="43">B33/365/C33</f>
        <v>22.5624496373892</v>
      </c>
      <c r="E33" s="76" t="str">
        <f>IF(B33&gt;'Peajes Actuales'!$C$14,'Peajes Actuales'!$B$14,IF(B33&gt;'Peajes Actuales'!$C$13,'Peajes Actuales'!$B$13,IF(B33&gt;'Peajes Actuales'!$C$12,'Peajes Actuales'!$B$12,'Peajes Actuales'!$B$11)))</f>
        <v>3.4</v>
      </c>
      <c r="F33" s="88">
        <f>'Peajes Actuales'!$H$29</f>
        <v>19.612000000000002</v>
      </c>
      <c r="G33" s="88">
        <f>'Peajes Actuales'!$I$29</f>
        <v>0.11599999999999999</v>
      </c>
      <c r="H33" s="123">
        <f t="shared" ref="H33:H34" si="44">D33*F33*12</f>
        <v>5309.9371474617246</v>
      </c>
      <c r="I33" s="123">
        <f t="shared" ref="I33:I34" si="45">B33*G33</f>
        <v>812</v>
      </c>
      <c r="J33" s="122">
        <f t="shared" ref="J33:J34" si="46">H33+I33</f>
        <v>6121.9371474617246</v>
      </c>
      <c r="K33" s="89">
        <f>'Peajes Actuales'!$I$5</f>
        <v>10.848000000000001</v>
      </c>
      <c r="L33" s="122">
        <f t="shared" ref="L33:L34" si="47">12*K33*D33</f>
        <v>2937.0894439967769</v>
      </c>
      <c r="M33" s="87">
        <f>VLOOKUP(E33,'Peajes Actuales'!$B$11:$J$14,8,FALSE)</f>
        <v>80.97</v>
      </c>
      <c r="N33" s="90">
        <f>VLOOKUP(E33,'Peajes Actuales'!$B$11:$J$14,9,FALSE)</f>
        <v>13.012</v>
      </c>
      <c r="O33" s="123">
        <f t="shared" ref="O33:O34" si="48">M33*12</f>
        <v>971.64</v>
      </c>
      <c r="P33" s="123">
        <f t="shared" ref="P33:P34" si="49">B33*N33</f>
        <v>91084</v>
      </c>
      <c r="Q33" s="122">
        <f t="shared" ref="Q33:Q34" si="50">SUM(O33:P33)</f>
        <v>92055.64</v>
      </c>
      <c r="R33" s="124">
        <f t="shared" ref="R33:R34" si="51">J33+L33+Q33</f>
        <v>101114.6665914585</v>
      </c>
      <c r="S33" s="79">
        <f t="shared" ref="S33:S34" si="52">R33/B33</f>
        <v>14.444952370208357</v>
      </c>
      <c r="U33" s="76" t="str">
        <f>IF(B33&gt;'Peajes Circular CNMC'!$C$23,'Peajes Circular CNMC'!$B$23,IF(B33&gt;'Peajes Circular CNMC'!$C$22,'Peajes Circular CNMC'!$B$22,IF(B33&gt;'Peajes Circular CNMC'!$C$21,'Peajes Circular CNMC'!$B$21,IF(B33&gt;'Peajes Circular CNMC'!$C$20,'Peajes Circular CNMC'!$B$20,IF(B33&gt;'Peajes Circular CNMC'!$C$19,'Peajes Circular CNMC'!$B$19,IF(B33&gt;'Peajes Circular CNMC'!$C$18,'Peajes Circular CNMC'!$B$18,IF(B33&gt;'Peajes Circular CNMC'!$C$17,'Peajes Circular CNMC'!$B$17,IF(B33&gt;'Peajes Circular CNMC'!$C$16,'Peajes Circular CNMC'!$B$16,IF(B33&gt;'Peajes Circular CNMC'!$C$15,'Peajes Circular CNMC'!$B$15,IF(B33&gt;'Peajes Circular CNMC'!$C$14,'Peajes Circular CNMC'!$B$14,'Peajes Circular CNMC'!$B$13))))))))))</f>
        <v>D.7</v>
      </c>
      <c r="V33" s="96">
        <f>'Peajes Circular CNMC'!$H$30</f>
        <v>29.867609999999999</v>
      </c>
      <c r="W33" s="88">
        <f>'Peajes Circular CNMC'!$I$30</f>
        <v>0.15190999999999999</v>
      </c>
      <c r="X33" s="123">
        <f t="shared" si="12"/>
        <v>8086.6373569701846</v>
      </c>
      <c r="Y33" s="123">
        <f t="shared" si="13"/>
        <v>1063.3699999999999</v>
      </c>
      <c r="Z33" s="122">
        <f t="shared" si="14"/>
        <v>9150.0073569701854</v>
      </c>
      <c r="AA33" s="88">
        <f>'Peajes Circular CNMC'!$H$35</f>
        <v>0.26106499999999999</v>
      </c>
      <c r="AB33" s="122">
        <f t="shared" si="15"/>
        <v>1827.4549999999999</v>
      </c>
      <c r="AC33" s="97">
        <f>'Peajes Circular CNMC'!$J$6</f>
        <v>20.326666666666664</v>
      </c>
      <c r="AD33" s="97">
        <f>'Peajes Circular CNMC'!$J$7</f>
        <v>2.2599999999999999E-2</v>
      </c>
      <c r="AE33" s="123">
        <f t="shared" si="16"/>
        <v>5503.4327155519732</v>
      </c>
      <c r="AF33" s="123">
        <f t="shared" si="17"/>
        <v>158.19999999999999</v>
      </c>
      <c r="AG33" s="122">
        <f t="shared" si="18"/>
        <v>5661.632715551973</v>
      </c>
      <c r="AH33" s="97">
        <f>'Peajes Circular CNMC'!$K$6</f>
        <v>12.351666666666667</v>
      </c>
      <c r="AI33" s="97">
        <f>'Peajes Circular CNMC'!$K$7</f>
        <v>2.2599999999999999E-2</v>
      </c>
      <c r="AJ33" s="123">
        <f t="shared" si="19"/>
        <v>3344.206285253827</v>
      </c>
      <c r="AK33" s="123">
        <f t="shared" si="20"/>
        <v>158.19999999999999</v>
      </c>
      <c r="AL33" s="122">
        <f t="shared" si="21"/>
        <v>3502.4062852538268</v>
      </c>
      <c r="AM33" s="98">
        <f>VLOOKUP(U33,'Peajes Circular CNMC'!$B$13:$J$23,7,FALSE)</f>
        <v>86.737500000000011</v>
      </c>
      <c r="AN33" s="87">
        <f>VLOOKUP(U33,'Peajes Circular CNMC'!$B$13:$J$23,8,FALSE)</f>
        <v>0</v>
      </c>
      <c r="AO33" s="87">
        <f>VLOOKUP(U33,'Peajes Circular CNMC'!$B$13:$J$23,9,FALSE)</f>
        <v>1.0900000000000001</v>
      </c>
      <c r="AP33" s="123">
        <f t="shared" si="22"/>
        <v>23484.125705076553</v>
      </c>
      <c r="AQ33" s="123">
        <f t="shared" si="23"/>
        <v>0</v>
      </c>
      <c r="AR33" s="123">
        <f t="shared" si="24"/>
        <v>7630.0000000000009</v>
      </c>
      <c r="AS33" s="122">
        <f t="shared" si="25"/>
        <v>31114.125705076553</v>
      </c>
      <c r="AT33" s="124">
        <f t="shared" si="26"/>
        <v>51255.627062852538</v>
      </c>
      <c r="AU33" s="79">
        <f t="shared" si="42"/>
        <v>7.3222324375503627</v>
      </c>
      <c r="AW33" s="75">
        <f t="shared" si="28"/>
        <v>0.49462615126062803</v>
      </c>
      <c r="AX33" s="100">
        <f t="shared" si="29"/>
        <v>0.92763374201081561</v>
      </c>
      <c r="AY33" s="100">
        <f t="shared" si="30"/>
        <v>-0.62396076991773253</v>
      </c>
      <c r="AZ33" s="125">
        <f t="shared" si="0"/>
        <v>-49859.039528605965</v>
      </c>
      <c r="BA33" s="100">
        <f t="shared" si="1"/>
        <v>-0.49309404074935381</v>
      </c>
      <c r="BB33" s="192">
        <f t="shared" si="31"/>
        <v>-7.1227199326579944</v>
      </c>
    </row>
    <row r="34" spans="1:54">
      <c r="B34" s="105">
        <v>7500</v>
      </c>
      <c r="C34" s="187">
        <v>0.85</v>
      </c>
      <c r="D34" s="113">
        <f t="shared" si="43"/>
        <v>24.174053182917003</v>
      </c>
      <c r="E34" s="76" t="str">
        <f>IF(B34&gt;'Peajes Actuales'!$C$14,'Peajes Actuales'!$B$14,IF(B34&gt;'Peajes Actuales'!$C$13,'Peajes Actuales'!$B$13,IF(B34&gt;'Peajes Actuales'!$C$12,'Peajes Actuales'!$B$12,'Peajes Actuales'!$B$11)))</f>
        <v>3.4</v>
      </c>
      <c r="F34" s="88">
        <f>'Peajes Actuales'!$H$29</f>
        <v>19.612000000000002</v>
      </c>
      <c r="G34" s="88">
        <f>'Peajes Actuales'!$I$29</f>
        <v>0.11599999999999999</v>
      </c>
      <c r="H34" s="123">
        <f t="shared" si="44"/>
        <v>5689.2183722804193</v>
      </c>
      <c r="I34" s="123">
        <f t="shared" si="45"/>
        <v>869.99999999999989</v>
      </c>
      <c r="J34" s="122">
        <f t="shared" si="46"/>
        <v>6559.2183722804193</v>
      </c>
      <c r="K34" s="89">
        <f>'Peajes Actuales'!$I$5</f>
        <v>10.848000000000001</v>
      </c>
      <c r="L34" s="122">
        <f t="shared" si="47"/>
        <v>3146.8815471394041</v>
      </c>
      <c r="M34" s="87">
        <f>VLOOKUP(E34,'Peajes Actuales'!$B$11:$J$14,8,FALSE)</f>
        <v>80.97</v>
      </c>
      <c r="N34" s="90">
        <f>VLOOKUP(E34,'Peajes Actuales'!$B$11:$J$14,9,FALSE)</f>
        <v>13.012</v>
      </c>
      <c r="O34" s="123">
        <f t="shared" si="48"/>
        <v>971.64</v>
      </c>
      <c r="P34" s="123">
        <f t="shared" si="49"/>
        <v>97590</v>
      </c>
      <c r="Q34" s="122">
        <f t="shared" si="50"/>
        <v>98561.64</v>
      </c>
      <c r="R34" s="124">
        <f t="shared" si="51"/>
        <v>108267.73991941982</v>
      </c>
      <c r="S34" s="79">
        <f t="shared" si="52"/>
        <v>14.435698655922643</v>
      </c>
      <c r="U34" s="76" t="str">
        <f>IF(B34&gt;'Peajes Circular CNMC'!$C$23,'Peajes Circular CNMC'!$B$23,IF(B34&gt;'Peajes Circular CNMC'!$C$22,'Peajes Circular CNMC'!$B$22,IF(B34&gt;'Peajes Circular CNMC'!$C$21,'Peajes Circular CNMC'!$B$21,IF(B34&gt;'Peajes Circular CNMC'!$C$20,'Peajes Circular CNMC'!$B$20,IF(B34&gt;'Peajes Circular CNMC'!$C$19,'Peajes Circular CNMC'!$B$19,IF(B34&gt;'Peajes Circular CNMC'!$C$18,'Peajes Circular CNMC'!$B$18,IF(B34&gt;'Peajes Circular CNMC'!$C$17,'Peajes Circular CNMC'!$B$17,IF(B34&gt;'Peajes Circular CNMC'!$C$16,'Peajes Circular CNMC'!$B$16,IF(B34&gt;'Peajes Circular CNMC'!$C$15,'Peajes Circular CNMC'!$B$15,IF(B34&gt;'Peajes Circular CNMC'!$C$14,'Peajes Circular CNMC'!$B$14,'Peajes Circular CNMC'!$B$13))))))))))</f>
        <v>D.7</v>
      </c>
      <c r="V34" s="96">
        <f>'Peajes Circular CNMC'!$H$30</f>
        <v>29.867609999999999</v>
      </c>
      <c r="W34" s="88">
        <f>'Peajes Circular CNMC'!$I$30</f>
        <v>0.15190999999999999</v>
      </c>
      <c r="X34" s="123">
        <f t="shared" si="12"/>
        <v>8664.2543110394836</v>
      </c>
      <c r="Y34" s="123">
        <f t="shared" si="13"/>
        <v>1139.3249999999998</v>
      </c>
      <c r="Z34" s="122">
        <f t="shared" si="14"/>
        <v>9803.5793110394843</v>
      </c>
      <c r="AA34" s="88">
        <f>'Peajes Circular CNMC'!$H$35</f>
        <v>0.26106499999999999</v>
      </c>
      <c r="AB34" s="122">
        <f t="shared" si="15"/>
        <v>1957.9875</v>
      </c>
      <c r="AC34" s="97">
        <f>'Peajes Circular CNMC'!$J$6</f>
        <v>20.326666666666664</v>
      </c>
      <c r="AD34" s="97">
        <f>'Peajes Circular CNMC'!$J$7</f>
        <v>2.2599999999999999E-2</v>
      </c>
      <c r="AE34" s="123">
        <f t="shared" si="16"/>
        <v>5896.535052377114</v>
      </c>
      <c r="AF34" s="123">
        <f t="shared" si="17"/>
        <v>169.5</v>
      </c>
      <c r="AG34" s="122">
        <f t="shared" si="18"/>
        <v>6066.035052377114</v>
      </c>
      <c r="AH34" s="97">
        <f>'Peajes Circular CNMC'!$K$6</f>
        <v>12.351666666666667</v>
      </c>
      <c r="AI34" s="97">
        <f>'Peajes Circular CNMC'!$K$7</f>
        <v>2.2599999999999999E-2</v>
      </c>
      <c r="AJ34" s="123">
        <f t="shared" si="19"/>
        <v>3583.078162771958</v>
      </c>
      <c r="AK34" s="123">
        <f t="shared" si="20"/>
        <v>169.5</v>
      </c>
      <c r="AL34" s="122">
        <f t="shared" si="21"/>
        <v>3752.578162771958</v>
      </c>
      <c r="AM34" s="98">
        <f>VLOOKUP(U34,'Peajes Circular CNMC'!$B$13:$J$23,7,FALSE)</f>
        <v>86.737500000000011</v>
      </c>
      <c r="AN34" s="87">
        <f>VLOOKUP(U34,'Peajes Circular CNMC'!$B$13:$J$23,8,FALSE)</f>
        <v>0</v>
      </c>
      <c r="AO34" s="87">
        <f>VLOOKUP(U34,'Peajes Circular CNMC'!$B$13:$J$23,9,FALSE)</f>
        <v>1.0900000000000001</v>
      </c>
      <c r="AP34" s="123">
        <f t="shared" si="22"/>
        <v>25161.563255439167</v>
      </c>
      <c r="AQ34" s="123">
        <f t="shared" si="23"/>
        <v>0</v>
      </c>
      <c r="AR34" s="123">
        <f t="shared" si="24"/>
        <v>8175.0000000000009</v>
      </c>
      <c r="AS34" s="122">
        <f t="shared" si="25"/>
        <v>33336.56325543917</v>
      </c>
      <c r="AT34" s="124">
        <f t="shared" si="26"/>
        <v>54916.743281627729</v>
      </c>
      <c r="AU34" s="79">
        <f t="shared" si="42"/>
        <v>7.3222324375503636</v>
      </c>
      <c r="AW34" s="75">
        <f t="shared" si="28"/>
        <v>0.49462615126062803</v>
      </c>
      <c r="AX34" s="100">
        <f t="shared" si="29"/>
        <v>0.9276337420108155</v>
      </c>
      <c r="AY34" s="100">
        <f t="shared" si="30"/>
        <v>-0.62369597930583209</v>
      </c>
      <c r="AZ34" s="125">
        <f t="shared" si="0"/>
        <v>-53350.996637792094</v>
      </c>
      <c r="BA34" s="100">
        <f t="shared" si="1"/>
        <v>-0.49276909887931081</v>
      </c>
      <c r="BB34" s="192">
        <f t="shared" si="31"/>
        <v>-7.1134662183722792</v>
      </c>
    </row>
    <row r="35" spans="1:54">
      <c r="A35" s="207"/>
      <c r="B35" s="207"/>
      <c r="C35" s="207"/>
      <c r="D35" s="207"/>
      <c r="E35" s="207"/>
      <c r="F35" s="207"/>
      <c r="G35" s="207"/>
      <c r="H35" s="207"/>
      <c r="I35" s="207"/>
      <c r="J35" s="207"/>
      <c r="K35" s="207"/>
      <c r="L35" s="207"/>
      <c r="M35" s="207"/>
      <c r="N35" s="207"/>
      <c r="O35" s="207"/>
      <c r="P35" s="207"/>
      <c r="Q35" s="207"/>
      <c r="R35" s="207"/>
      <c r="S35" s="207"/>
      <c r="T35" s="207"/>
      <c r="U35" s="207"/>
      <c r="V35" s="207"/>
      <c r="W35" s="207"/>
      <c r="X35" s="207"/>
      <c r="Y35" s="207"/>
      <c r="Z35" s="207"/>
      <c r="AA35" s="207"/>
      <c r="AB35" s="207"/>
      <c r="AC35" s="207"/>
      <c r="AD35" s="207"/>
      <c r="AE35" s="207"/>
      <c r="AF35" s="207"/>
      <c r="AG35" s="207"/>
      <c r="AH35" s="207"/>
      <c r="AI35" s="207"/>
      <c r="AJ35" s="207"/>
      <c r="AK35" s="207"/>
      <c r="AL35" s="207"/>
      <c r="AM35" s="207"/>
      <c r="AN35" s="207"/>
      <c r="AO35" s="207"/>
      <c r="AP35" s="207"/>
      <c r="AQ35" s="207"/>
      <c r="AR35" s="207"/>
      <c r="AS35" s="207"/>
      <c r="AT35" s="207"/>
      <c r="AU35" s="207"/>
      <c r="AV35" s="207"/>
      <c r="AW35" s="207"/>
      <c r="AX35" s="207"/>
      <c r="AY35" s="207"/>
      <c r="AZ35" s="207"/>
      <c r="BA35" s="207"/>
      <c r="BB35" s="209"/>
    </row>
    <row r="36" spans="1:54">
      <c r="A36" s="207"/>
      <c r="B36" s="207"/>
      <c r="C36" s="207"/>
      <c r="D36" s="207"/>
      <c r="E36" s="207"/>
      <c r="F36" s="207"/>
      <c r="G36" s="207"/>
      <c r="H36" s="207"/>
      <c r="I36" s="207"/>
      <c r="J36" s="207"/>
      <c r="K36" s="207"/>
      <c r="L36" s="207"/>
      <c r="M36" s="207"/>
      <c r="N36" s="207"/>
      <c r="O36" s="207"/>
      <c r="P36" s="207"/>
      <c r="Q36" s="207"/>
      <c r="R36" s="207"/>
      <c r="S36" s="207"/>
      <c r="T36" s="207"/>
      <c r="U36" s="207"/>
      <c r="V36" s="207"/>
      <c r="W36" s="207"/>
      <c r="X36" s="207"/>
      <c r="Y36" s="207"/>
      <c r="Z36" s="207"/>
      <c r="AA36" s="207"/>
      <c r="AB36" s="207"/>
      <c r="AC36" s="207"/>
      <c r="AD36" s="207"/>
      <c r="AE36" s="207"/>
      <c r="AF36" s="207"/>
      <c r="AG36" s="207"/>
      <c r="AH36" s="207"/>
      <c r="AI36" s="207"/>
      <c r="AJ36" s="207"/>
      <c r="AK36" s="207"/>
      <c r="AL36" s="207"/>
      <c r="AM36" s="207"/>
      <c r="AN36" s="207"/>
      <c r="AO36" s="207"/>
      <c r="AP36" s="207"/>
      <c r="AQ36" s="207"/>
      <c r="AR36" s="207"/>
      <c r="AS36" s="207"/>
      <c r="AT36" s="207"/>
      <c r="AU36" s="207"/>
      <c r="AV36" s="207"/>
      <c r="AW36" s="207"/>
      <c r="AX36" s="207"/>
      <c r="AY36" s="207"/>
      <c r="AZ36" s="207"/>
      <c r="BA36" s="207"/>
      <c r="BB36" s="209"/>
    </row>
  </sheetData>
  <customSheetViews>
    <customSheetView guid="{96C67CFB-CE46-46EB-8800-9D77F2045444}" scale="80" showGridLines="0" fitToPage="1" hiddenColumns="1">
      <pane ySplit="6" topLeftCell="A43" activePane="bottomLeft" state="frozen"/>
      <selection pane="bottomLeft" activeCell="K22" sqref="K22"/>
      <pageMargins left="0.70866141732283472" right="0.70866141732283472" top="0.74803149606299213" bottom="0.74803149606299213" header="0.31496062992125984" footer="0.31496062992125984"/>
      <pageSetup paperSize="8" scale="62" orientation="landscape" r:id="rId1"/>
      <headerFooter>
        <oddHeader>&amp;L&amp;F&amp;R&amp;A</oddHeader>
        <oddFooter>&amp;R&amp;Z&amp;F</oddFooter>
      </headerFooter>
    </customSheetView>
    <customSheetView guid="{DE30ACA8-1284-4798-8E7A-589852EF3C29}" scale="80" showGridLines="0" fitToPage="1" hiddenColumns="1">
      <pane ySplit="6" topLeftCell="A43" activePane="bottomLeft" state="frozen"/>
      <selection pane="bottomLeft" activeCell="K22" sqref="K22"/>
      <pageMargins left="0.70866141732283472" right="0.70866141732283472" top="0.74803149606299213" bottom="0.74803149606299213" header="0.31496062992125984" footer="0.31496062992125984"/>
      <pageSetup paperSize="8" scale="62" orientation="landscape" r:id="rId2"/>
      <headerFooter>
        <oddHeader>&amp;L&amp;F&amp;R&amp;A</oddHeader>
        <oddFooter>&amp;R&amp;Z&amp;F</oddFooter>
      </headerFooter>
    </customSheetView>
  </customSheetViews>
  <mergeCells count="16">
    <mergeCell ref="C5:D5"/>
    <mergeCell ref="AT7:AU7"/>
    <mergeCell ref="R8:S8"/>
    <mergeCell ref="AT8:AU8"/>
    <mergeCell ref="AZ8:BA8"/>
    <mergeCell ref="F6:S6"/>
    <mergeCell ref="V6:AU6"/>
    <mergeCell ref="F7:J7"/>
    <mergeCell ref="K7:L7"/>
    <mergeCell ref="M7:Q7"/>
    <mergeCell ref="R7:S7"/>
    <mergeCell ref="V7:Z7"/>
    <mergeCell ref="AC7:AG7"/>
    <mergeCell ref="AH7:AL7"/>
    <mergeCell ref="AM7:AS7"/>
    <mergeCell ref="AA7:AB7"/>
  </mergeCells>
  <conditionalFormatting sqref="AW10:BA34 A35:BA36">
    <cfRule type="cellIs" dxfId="35" priority="11" operator="greaterThan">
      <formula>0</formula>
    </cfRule>
  </conditionalFormatting>
  <conditionalFormatting sqref="AW10:BA34 A35:BA36">
    <cfRule type="cellIs" dxfId="34" priority="6" operator="lessThan">
      <formula>0</formula>
    </cfRule>
  </conditionalFormatting>
  <conditionalFormatting sqref="BB10:BB36">
    <cfRule type="cellIs" dxfId="33" priority="2" operator="greaterThan">
      <formula>0</formula>
    </cfRule>
  </conditionalFormatting>
  <conditionalFormatting sqref="BB10:BB36">
    <cfRule type="cellIs" dxfId="32" priority="1" operator="lessThan">
      <formula>0</formula>
    </cfRule>
  </conditionalFormatting>
  <dataValidations count="1">
    <dataValidation type="list" allowBlank="1" showInputMessage="1" showErrorMessage="1" sqref="C5">
      <mc:AlternateContent xmlns:x12ac="http://schemas.microsoft.com/office/spreadsheetml/2011/1/ac" xmlns:mc="http://schemas.openxmlformats.org/markup-compatibility/2006">
        <mc:Choice Requires="x12ac">
          <x12ac:list>Memoria CNMC,"0,80","0,85","0,90"</x12ac:list>
        </mc:Choice>
        <mc:Fallback>
          <formula1>"Memoria CNMC,0,80,0,85,0,90"</formula1>
        </mc:Fallback>
      </mc:AlternateContent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3" orientation="landscape" r:id="rId3"/>
  <headerFooter>
    <oddHeader>&amp;LANEXO I: CÁLCULOS DEL IMPACTO INICIAL DE LA NUEVA METODOLOGÍA DE PEAJES SOBRE LOS CLIENTES&amp;R&amp;A</oddHeader>
  </headerFooter>
  <drawing r:id="rId4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BB29"/>
  <sheetViews>
    <sheetView showGridLines="0" topLeftCell="A22" zoomScale="90" zoomScaleNormal="90" workbookViewId="0">
      <selection activeCell="AD62" sqref="AD62"/>
    </sheetView>
  </sheetViews>
  <sheetFormatPr baseColWidth="10" defaultColWidth="11" defaultRowHeight="16.5" outlineLevelCol="1"/>
  <cols>
    <col min="1" max="1" width="2.140625" style="67" customWidth="1"/>
    <col min="2" max="2" width="10.140625" style="66" customWidth="1"/>
    <col min="3" max="3" width="6.7109375" style="67" customWidth="1"/>
    <col min="4" max="4" width="10.42578125" style="67" customWidth="1"/>
    <col min="5" max="5" width="8.42578125" style="67" customWidth="1"/>
    <col min="6" max="6" width="13.42578125" style="74" hidden="1" customWidth="1" outlineLevel="1"/>
    <col min="7" max="7" width="9.7109375" style="74" customWidth="1" outlineLevel="1"/>
    <col min="8" max="8" width="11.5703125" style="78" hidden="1" customWidth="1" outlineLevel="1"/>
    <col min="9" max="9" width="10" style="78" hidden="1" customWidth="1" outlineLevel="1"/>
    <col min="10" max="10" width="13.28515625" style="78" customWidth="1" collapsed="1"/>
    <col min="11" max="11" width="13.42578125" style="67" hidden="1" customWidth="1" outlineLevel="1"/>
    <col min="12" max="12" width="14.5703125" style="67" customWidth="1" collapsed="1"/>
    <col min="13" max="13" width="13.42578125" style="67" hidden="1" customWidth="1" outlineLevel="1"/>
    <col min="14" max="14" width="8.28515625" style="67" customWidth="1" outlineLevel="1"/>
    <col min="15" max="15" width="11" style="67" hidden="1" customWidth="1" outlineLevel="1"/>
    <col min="16" max="16" width="12.5703125" style="67" hidden="1" customWidth="1" outlineLevel="1"/>
    <col min="17" max="17" width="12.85546875" style="67" customWidth="1" collapsed="1"/>
    <col min="18" max="18" width="17.28515625" style="67" bestFit="1" customWidth="1"/>
    <col min="19" max="19" width="8.5703125" style="67" customWidth="1"/>
    <col min="20" max="20" width="1.42578125" style="67" customWidth="1"/>
    <col min="21" max="21" width="9" style="67" customWidth="1"/>
    <col min="22" max="22" width="13.42578125" style="67" hidden="1" customWidth="1" outlineLevel="1"/>
    <col min="23" max="23" width="8.5703125" style="67" hidden="1" customWidth="1" outlineLevel="1"/>
    <col min="24" max="24" width="11.5703125" style="67" hidden="1" customWidth="1" outlineLevel="1"/>
    <col min="25" max="25" width="9.140625" style="67" hidden="1" customWidth="1" outlineLevel="1"/>
    <col min="26" max="26" width="12.28515625" style="67" customWidth="1" collapsed="1"/>
    <col min="27" max="27" width="12.28515625" style="67" hidden="1" customWidth="1" outlineLevel="1"/>
    <col min="28" max="28" width="12.28515625" style="67" customWidth="1" collapsed="1"/>
    <col min="29" max="32" width="13.42578125" style="67" hidden="1" customWidth="1" outlineLevel="1"/>
    <col min="33" max="33" width="15" style="67" customWidth="1" collapsed="1"/>
    <col min="34" max="37" width="13.42578125" style="67" hidden="1" customWidth="1" outlineLevel="1"/>
    <col min="38" max="38" width="13.7109375" style="67" customWidth="1" collapsed="1"/>
    <col min="39" max="40" width="13.42578125" style="67" hidden="1" customWidth="1" outlineLevel="1"/>
    <col min="41" max="41" width="7.42578125" style="67" hidden="1" customWidth="1" outlineLevel="1"/>
    <col min="42" max="44" width="11.5703125" style="67" hidden="1" customWidth="1" outlineLevel="1"/>
    <col min="45" max="45" width="12.5703125" style="67" customWidth="1" collapsed="1"/>
    <col min="46" max="46" width="15.42578125" style="67" customWidth="1"/>
    <col min="47" max="47" width="8.42578125" style="67" customWidth="1"/>
    <col min="48" max="48" width="0.7109375" style="67" customWidth="1"/>
    <col min="49" max="49" width="11" style="74" hidden="1" customWidth="1" outlineLevel="1"/>
    <col min="50" max="50" width="12.140625" style="74" hidden="1" customWidth="1" outlineLevel="1"/>
    <col min="51" max="51" width="10.5703125" style="67" hidden="1" customWidth="1" outlineLevel="1"/>
    <col min="52" max="52" width="11.42578125" style="67" customWidth="1" collapsed="1"/>
    <col min="53" max="53" width="9.42578125" style="67" customWidth="1"/>
    <col min="54" max="54" width="8.42578125" style="67" bestFit="1" customWidth="1"/>
    <col min="55" max="16384" width="11" style="67"/>
  </cols>
  <sheetData>
    <row r="2" spans="2:54" ht="18">
      <c r="B2" s="205" t="s">
        <v>137</v>
      </c>
    </row>
    <row r="3" spans="2:54" ht="20.25">
      <c r="B3" s="206" t="s">
        <v>154</v>
      </c>
    </row>
    <row r="5" spans="2:54">
      <c r="B5" s="128" t="s">
        <v>38</v>
      </c>
      <c r="C5" s="252" t="s">
        <v>105</v>
      </c>
      <c r="D5" s="253"/>
    </row>
    <row r="6" spans="2:54">
      <c r="B6" s="67"/>
      <c r="F6" s="244" t="s">
        <v>100</v>
      </c>
      <c r="G6" s="245"/>
      <c r="H6" s="245"/>
      <c r="I6" s="245"/>
      <c r="J6" s="245"/>
      <c r="K6" s="245"/>
      <c r="L6" s="245"/>
      <c r="M6" s="245"/>
      <c r="N6" s="245"/>
      <c r="O6" s="245"/>
      <c r="P6" s="245"/>
      <c r="Q6" s="245"/>
      <c r="R6" s="245"/>
      <c r="S6" s="246"/>
      <c r="V6" s="247" t="s">
        <v>101</v>
      </c>
      <c r="W6" s="248"/>
      <c r="X6" s="248"/>
      <c r="Y6" s="248"/>
      <c r="Z6" s="248"/>
      <c r="AA6" s="248"/>
      <c r="AB6" s="248"/>
      <c r="AC6" s="248"/>
      <c r="AD6" s="248"/>
      <c r="AE6" s="248"/>
      <c r="AF6" s="248"/>
      <c r="AG6" s="248"/>
      <c r="AH6" s="248"/>
      <c r="AI6" s="248"/>
      <c r="AJ6" s="248"/>
      <c r="AK6" s="248"/>
      <c r="AL6" s="248"/>
      <c r="AM6" s="248"/>
      <c r="AN6" s="248"/>
      <c r="AO6" s="248"/>
      <c r="AP6" s="248"/>
      <c r="AQ6" s="248"/>
      <c r="AR6" s="248"/>
      <c r="AS6" s="248"/>
      <c r="AT6" s="248"/>
      <c r="AU6" s="249"/>
    </row>
    <row r="7" spans="2:54">
      <c r="F7" s="254" t="s">
        <v>94</v>
      </c>
      <c r="G7" s="255"/>
      <c r="H7" s="255"/>
      <c r="I7" s="255"/>
      <c r="J7" s="256"/>
      <c r="K7" s="254" t="s">
        <v>95</v>
      </c>
      <c r="L7" s="256"/>
      <c r="M7" s="254" t="s">
        <v>96</v>
      </c>
      <c r="N7" s="255"/>
      <c r="O7" s="255"/>
      <c r="P7" s="255"/>
      <c r="Q7" s="256"/>
      <c r="R7" s="254" t="s">
        <v>99</v>
      </c>
      <c r="S7" s="256"/>
      <c r="V7" s="240" t="s">
        <v>94</v>
      </c>
      <c r="W7" s="241"/>
      <c r="X7" s="241"/>
      <c r="Y7" s="241"/>
      <c r="Z7" s="242"/>
      <c r="AA7" s="240" t="s">
        <v>133</v>
      </c>
      <c r="AB7" s="242"/>
      <c r="AC7" s="240" t="s">
        <v>134</v>
      </c>
      <c r="AD7" s="241"/>
      <c r="AE7" s="241"/>
      <c r="AF7" s="241"/>
      <c r="AG7" s="242"/>
      <c r="AH7" s="240" t="s">
        <v>135</v>
      </c>
      <c r="AI7" s="241"/>
      <c r="AJ7" s="241"/>
      <c r="AK7" s="241"/>
      <c r="AL7" s="242"/>
      <c r="AM7" s="240" t="s">
        <v>104</v>
      </c>
      <c r="AN7" s="241"/>
      <c r="AO7" s="241"/>
      <c r="AP7" s="241"/>
      <c r="AQ7" s="241"/>
      <c r="AR7" s="241"/>
      <c r="AS7" s="242"/>
      <c r="AT7" s="240" t="s">
        <v>99</v>
      </c>
      <c r="AU7" s="242"/>
    </row>
    <row r="8" spans="2:54">
      <c r="B8" s="68" t="s">
        <v>86</v>
      </c>
      <c r="C8" s="148" t="s">
        <v>38</v>
      </c>
      <c r="D8" s="147" t="s">
        <v>88</v>
      </c>
      <c r="F8" s="142" t="s">
        <v>54</v>
      </c>
      <c r="G8" s="82" t="s">
        <v>91</v>
      </c>
      <c r="H8" s="85" t="s">
        <v>54</v>
      </c>
      <c r="I8" s="85" t="s">
        <v>91</v>
      </c>
      <c r="J8" s="86" t="s">
        <v>92</v>
      </c>
      <c r="K8" s="142" t="s">
        <v>54</v>
      </c>
      <c r="L8" s="143" t="s">
        <v>92</v>
      </c>
      <c r="M8" s="142" t="s">
        <v>50</v>
      </c>
      <c r="N8" s="82" t="s">
        <v>91</v>
      </c>
      <c r="O8" s="82" t="s">
        <v>50</v>
      </c>
      <c r="P8" s="82" t="s">
        <v>91</v>
      </c>
      <c r="Q8" s="143" t="s">
        <v>92</v>
      </c>
      <c r="R8" s="238" t="s">
        <v>98</v>
      </c>
      <c r="S8" s="239"/>
      <c r="V8" s="145" t="s">
        <v>54</v>
      </c>
      <c r="W8" s="91" t="s">
        <v>91</v>
      </c>
      <c r="X8" s="92" t="s">
        <v>54</v>
      </c>
      <c r="Y8" s="92" t="s">
        <v>91</v>
      </c>
      <c r="Z8" s="93" t="s">
        <v>92</v>
      </c>
      <c r="AA8" s="198"/>
      <c r="AB8" s="197" t="s">
        <v>92</v>
      </c>
      <c r="AC8" s="145" t="s">
        <v>54</v>
      </c>
      <c r="AD8" s="91" t="s">
        <v>91</v>
      </c>
      <c r="AE8" s="91" t="s">
        <v>54</v>
      </c>
      <c r="AF8" s="91" t="s">
        <v>91</v>
      </c>
      <c r="AG8" s="146" t="s">
        <v>92</v>
      </c>
      <c r="AH8" s="145" t="s">
        <v>54</v>
      </c>
      <c r="AI8" s="91" t="s">
        <v>91</v>
      </c>
      <c r="AJ8" s="91" t="s">
        <v>54</v>
      </c>
      <c r="AK8" s="91" t="s">
        <v>91</v>
      </c>
      <c r="AL8" s="146" t="s">
        <v>92</v>
      </c>
      <c r="AM8" s="145" t="s">
        <v>90</v>
      </c>
      <c r="AN8" s="91" t="s">
        <v>50</v>
      </c>
      <c r="AO8" s="91" t="s">
        <v>91</v>
      </c>
      <c r="AP8" s="91" t="s">
        <v>90</v>
      </c>
      <c r="AQ8" s="91" t="s">
        <v>50</v>
      </c>
      <c r="AR8" s="91" t="s">
        <v>91</v>
      </c>
      <c r="AS8" s="146" t="s">
        <v>92</v>
      </c>
      <c r="AT8" s="250" t="s">
        <v>98</v>
      </c>
      <c r="AU8" s="251"/>
      <c r="AW8" s="144" t="s">
        <v>94</v>
      </c>
      <c r="AX8" s="144" t="s">
        <v>95</v>
      </c>
      <c r="AY8" s="144" t="s">
        <v>96</v>
      </c>
      <c r="AZ8" s="243" t="s">
        <v>92</v>
      </c>
      <c r="BA8" s="243"/>
    </row>
    <row r="9" spans="2:54" s="74" customFormat="1">
      <c r="B9" s="71" t="s">
        <v>87</v>
      </c>
      <c r="C9" s="72" t="s">
        <v>53</v>
      </c>
      <c r="D9" s="73" t="s">
        <v>37</v>
      </c>
      <c r="E9" s="136" t="s">
        <v>89</v>
      </c>
      <c r="F9" s="73" t="s">
        <v>58</v>
      </c>
      <c r="G9" s="73" t="s">
        <v>12</v>
      </c>
      <c r="H9" s="77" t="s">
        <v>93</v>
      </c>
      <c r="I9" s="77" t="s">
        <v>93</v>
      </c>
      <c r="J9" s="77" t="s">
        <v>93</v>
      </c>
      <c r="K9" s="73" t="s">
        <v>58</v>
      </c>
      <c r="L9" s="73" t="s">
        <v>93</v>
      </c>
      <c r="M9" s="73" t="s">
        <v>97</v>
      </c>
      <c r="N9" s="73" t="s">
        <v>12</v>
      </c>
      <c r="O9" s="73" t="s">
        <v>93</v>
      </c>
      <c r="P9" s="73" t="s">
        <v>93</v>
      </c>
      <c r="Q9" s="73" t="s">
        <v>93</v>
      </c>
      <c r="R9" s="73" t="s">
        <v>93</v>
      </c>
      <c r="S9" s="73" t="s">
        <v>12</v>
      </c>
      <c r="U9" s="135" t="s">
        <v>89</v>
      </c>
      <c r="V9" s="73" t="s">
        <v>58</v>
      </c>
      <c r="W9" s="73" t="s">
        <v>12</v>
      </c>
      <c r="X9" s="77" t="s">
        <v>93</v>
      </c>
      <c r="Y9" s="77" t="s">
        <v>93</v>
      </c>
      <c r="Z9" s="77" t="s">
        <v>93</v>
      </c>
      <c r="AA9" s="73" t="s">
        <v>12</v>
      </c>
      <c r="AB9" s="77" t="s">
        <v>93</v>
      </c>
      <c r="AC9" s="73" t="s">
        <v>58</v>
      </c>
      <c r="AD9" s="73" t="s">
        <v>12</v>
      </c>
      <c r="AE9" s="73" t="s">
        <v>93</v>
      </c>
      <c r="AF9" s="73" t="s">
        <v>93</v>
      </c>
      <c r="AG9" s="73" t="s">
        <v>93</v>
      </c>
      <c r="AH9" s="73" t="s">
        <v>58</v>
      </c>
      <c r="AI9" s="73" t="s">
        <v>12</v>
      </c>
      <c r="AJ9" s="73" t="s">
        <v>93</v>
      </c>
      <c r="AK9" s="73" t="s">
        <v>93</v>
      </c>
      <c r="AL9" s="73" t="s">
        <v>93</v>
      </c>
      <c r="AM9" s="73" t="s">
        <v>58</v>
      </c>
      <c r="AN9" s="73" t="s">
        <v>97</v>
      </c>
      <c r="AO9" s="73" t="s">
        <v>12</v>
      </c>
      <c r="AP9" s="73" t="s">
        <v>93</v>
      </c>
      <c r="AQ9" s="73" t="s">
        <v>93</v>
      </c>
      <c r="AR9" s="73" t="s">
        <v>93</v>
      </c>
      <c r="AS9" s="73" t="s">
        <v>93</v>
      </c>
      <c r="AT9" s="73" t="s">
        <v>93</v>
      </c>
      <c r="AU9" s="73" t="s">
        <v>12</v>
      </c>
      <c r="AW9" s="101" t="s">
        <v>102</v>
      </c>
      <c r="AX9" s="101" t="s">
        <v>102</v>
      </c>
      <c r="AY9" s="101" t="s">
        <v>102</v>
      </c>
      <c r="AZ9" s="103" t="s">
        <v>103</v>
      </c>
      <c r="BA9" s="104" t="s">
        <v>53</v>
      </c>
      <c r="BB9" s="191" t="s">
        <v>126</v>
      </c>
    </row>
    <row r="10" spans="2:54">
      <c r="B10" s="111">
        <v>2.74</v>
      </c>
      <c r="C10" s="112">
        <f>IF($C$5&lt;&gt;"Memoria CNMC",$C$5,IF(B10&gt;'Tipología Clientes'!$C$16,'Tipología Clientes'!$L$16,IF(B10&gt;'Tipología Clientes'!$C$15,'Tipología Clientes'!$L$15,IF(B10&gt;'Tipología Clientes'!$C$14,'Tipología Clientes'!$L$14,IF(B10&gt;'Tipología Clientes'!$C$13,'Tipología Clientes'!$L$13,IF(B10&gt;'Tipología Clientes'!$C$12,'Tipología Clientes'!$L$12,IF(B10&gt;'Tipología Clientes'!$C$11,'Tipología Clientes'!$L$11,IF(B10&gt;'Tipología Clientes'!$C$10,'Tipología Clientes'!$L$10,IF(B10&gt;'Tipología Clientes'!$C$9,'Tipología Clientes'!$L$9,IF(B10&gt;'Tipología Clientes'!$C$8,'Tipología Clientes'!$L$8,IF(B10&gt;'Tipología Clientes'!$C$7,'Tipología Clientes'!$L$7,'Tipología Clientes'!$L$6)))))))))))</f>
        <v>0.41011804141973951</v>
      </c>
      <c r="D10" s="113">
        <f>B10/365/C10</f>
        <v>1.8304118709533999E-2</v>
      </c>
      <c r="E10" s="76" t="str">
        <f>IF(B10&gt;'Peajes Actuales'!$C$14,'Peajes Actuales'!$B$14,IF(B10&gt;'Peajes Actuales'!$C$13,'Peajes Actuales'!$B$13,IF(B10&gt;'Peajes Actuales'!$C$12,'Peajes Actuales'!$B$12,'Peajes Actuales'!$B$11)))</f>
        <v>3.1</v>
      </c>
      <c r="F10" s="88">
        <f>'Peajes Actuales'!$H$29</f>
        <v>19.612000000000002</v>
      </c>
      <c r="G10" s="88">
        <f>'Peajes Actuales'!$I$29</f>
        <v>0.11599999999999999</v>
      </c>
      <c r="H10" s="123">
        <f>D10*F10*12</f>
        <v>4.3077645135765703</v>
      </c>
      <c r="I10" s="123">
        <f>B10*G10</f>
        <v>0.31784000000000001</v>
      </c>
      <c r="J10" s="122">
        <f>H10+I10</f>
        <v>4.6256045135765707</v>
      </c>
      <c r="K10" s="89">
        <f>'Peajes Actuales'!$I$5</f>
        <v>10.848000000000001</v>
      </c>
      <c r="L10" s="122">
        <f>12*K10*D10</f>
        <v>2.382756957132298</v>
      </c>
      <c r="M10" s="87">
        <f>VLOOKUP(E10,'Peajes Actuales'!$B$11:$J$14,8,FALSE)</f>
        <v>2.5299999999999998</v>
      </c>
      <c r="N10" s="90">
        <f>VLOOKUP(E10,'Peajes Actuales'!$B$11:$J$14,9,FALSE)</f>
        <v>29.286999999999999</v>
      </c>
      <c r="O10" s="123">
        <f>M10*12</f>
        <v>30.36</v>
      </c>
      <c r="P10" s="123">
        <f>B10*N10</f>
        <v>80.246380000000002</v>
      </c>
      <c r="Q10" s="122">
        <f>SUM(O10:P10)</f>
        <v>110.60638</v>
      </c>
      <c r="R10" s="124">
        <f>J10+L10+Q10</f>
        <v>117.61474147070886</v>
      </c>
      <c r="S10" s="79">
        <f>R10/B10</f>
        <v>42.925088127995934</v>
      </c>
      <c r="U10" s="76" t="str">
        <f>IF(B10&gt;'Peajes Circular CNMC'!$C$23,'Peajes Circular CNMC'!$B$23,IF(B10&gt;'Peajes Circular CNMC'!$C$22,'Peajes Circular CNMC'!$B$22,IF(B10&gt;'Peajes Circular CNMC'!$C$21,'Peajes Circular CNMC'!$B$21,IF(B10&gt;'Peajes Circular CNMC'!$C$20,'Peajes Circular CNMC'!$B$20,IF(B10&gt;'Peajes Circular CNMC'!$C$19,'Peajes Circular CNMC'!$B$19,IF(B10&gt;'Peajes Circular CNMC'!$C$18,'Peajes Circular CNMC'!$B$18,IF(B10&gt;'Peajes Circular CNMC'!$C$17,'Peajes Circular CNMC'!$B$17,IF(B10&gt;'Peajes Circular CNMC'!$C$16,'Peajes Circular CNMC'!$B$16,IF(B10&gt;'Peajes Circular CNMC'!$C$15,'Peajes Circular CNMC'!$B$15,IF(B10&gt;'Peajes Circular CNMC'!$C$14,'Peajes Circular CNMC'!$B$14,'Peajes Circular CNMC'!$B$13))))))))))</f>
        <v>D.1</v>
      </c>
      <c r="V10" s="96">
        <f>'Peajes Circular CNMC'!$H$30</f>
        <v>29.867609999999999</v>
      </c>
      <c r="W10" s="88">
        <f>'Peajes Circular CNMC'!$I$30</f>
        <v>0.15190999999999999</v>
      </c>
      <c r="X10" s="123">
        <f>12*V10*D10</f>
        <v>6.5604033481207766</v>
      </c>
      <c r="Y10" s="123">
        <f>W10*B10</f>
        <v>0.41623340000000003</v>
      </c>
      <c r="Z10" s="122">
        <f>X10+Y10</f>
        <v>6.9766367481207769</v>
      </c>
      <c r="AA10" s="88">
        <f>'Peajes Circular CNMC'!$H$35</f>
        <v>0.26106499999999999</v>
      </c>
      <c r="AB10" s="122">
        <f>B10*AA10</f>
        <v>0.71531810000000007</v>
      </c>
      <c r="AC10" s="97">
        <f>'Peajes Circular CNMC'!$J$6</f>
        <v>20.326666666666664</v>
      </c>
      <c r="AD10" s="97">
        <f>'Peajes Circular CNMC'!$J$7</f>
        <v>2.2599999999999999E-2</v>
      </c>
      <c r="AE10" s="123">
        <f>AC10*12*D10</f>
        <v>4.4647406356295321</v>
      </c>
      <c r="AF10" s="123">
        <f>AD10*B10</f>
        <v>6.1924E-2</v>
      </c>
      <c r="AG10" s="122">
        <f>AE10+AF10</f>
        <v>4.5266646356295324</v>
      </c>
      <c r="AH10" s="97">
        <f>'Peajes Circular CNMC'!$K$6</f>
        <v>12.351666666666667</v>
      </c>
      <c r="AI10" s="97">
        <f>'Peajes Circular CNMC'!$K$7</f>
        <v>2.2599999999999999E-2</v>
      </c>
      <c r="AJ10" s="123">
        <f>AH10*12*D10</f>
        <v>2.7130364751271294</v>
      </c>
      <c r="AK10" s="123">
        <f>AI10*B10</f>
        <v>6.1924E-2</v>
      </c>
      <c r="AL10" s="122">
        <f>AJ10+AK10</f>
        <v>2.7749604751271293</v>
      </c>
      <c r="AM10" s="98">
        <f>VLOOKUP(U10,'Peajes Circular CNMC'!$B$13:$J$23,7,FALSE)</f>
        <v>0</v>
      </c>
      <c r="AN10" s="87">
        <f>VLOOKUP(U10,'Peajes Circular CNMC'!$B$13:$J$23,8,FALSE)</f>
        <v>0.51300000000000001</v>
      </c>
      <c r="AO10" s="87">
        <f>VLOOKUP(U10,'Peajes Circular CNMC'!$B$13:$J$23,9,FALSE)</f>
        <v>15.61</v>
      </c>
      <c r="AP10" s="123">
        <f>12*AM10*D10</f>
        <v>0</v>
      </c>
      <c r="AQ10" s="123">
        <f>12*AN10</f>
        <v>6.1560000000000006</v>
      </c>
      <c r="AR10" s="123">
        <f>AO10*B10</f>
        <v>42.7714</v>
      </c>
      <c r="AS10" s="122">
        <f>AP10+AQ10+AR10</f>
        <v>48.927399999999999</v>
      </c>
      <c r="AT10" s="124">
        <f>Z10+AB10+AG10+AL10+AS10</f>
        <v>63.920979958877439</v>
      </c>
      <c r="AU10" s="79">
        <f>AT10/B10</f>
        <v>23.328824802510013</v>
      </c>
      <c r="AW10" s="75">
        <f>(Z10-J10)/J10</f>
        <v>0.50826486087250056</v>
      </c>
      <c r="AX10" s="100">
        <f>(AG10-L10)/L10</f>
        <v>0.89975927762161523</v>
      </c>
      <c r="AY10" s="100">
        <f>(AL10+AS10-Q10)/Q10</f>
        <v>-0.53255535101024798</v>
      </c>
      <c r="AZ10" s="125">
        <f t="shared" ref="AZ10:AZ13" si="0">AT10-R10</f>
        <v>-53.693761511831426</v>
      </c>
      <c r="BA10" s="100">
        <f t="shared" ref="BA10:BA13" si="1">AZ10/R10</f>
        <v>-0.45652237840614124</v>
      </c>
      <c r="BB10" s="192">
        <f>AU10-S10</f>
        <v>-19.596263325485921</v>
      </c>
    </row>
    <row r="11" spans="2:54">
      <c r="B11" s="111">
        <v>9.8190000000000008</v>
      </c>
      <c r="C11" s="112">
        <f>IF($C$5&lt;&gt;"Memoria CNMC",$C$5,IF(B11&gt;'Tipología Clientes'!$C$16,'Tipología Clientes'!$L$16,IF(B11&gt;'Tipología Clientes'!$C$15,'Tipología Clientes'!$L$15,IF(B11&gt;'Tipología Clientes'!$C$14,'Tipología Clientes'!$L$14,IF(B11&gt;'Tipología Clientes'!$C$13,'Tipología Clientes'!$L$13,IF(B11&gt;'Tipología Clientes'!$C$12,'Tipología Clientes'!$L$12,IF(B11&gt;'Tipología Clientes'!$C$11,'Tipología Clientes'!$L$11,IF(B11&gt;'Tipología Clientes'!$C$10,'Tipología Clientes'!$L$10,IF(B11&gt;'Tipología Clientes'!$C$9,'Tipología Clientes'!$L$9,IF(B11&gt;'Tipología Clientes'!$C$8,'Tipología Clientes'!$L$8,IF(B11&gt;'Tipología Clientes'!$C$7,'Tipología Clientes'!$L$7,'Tipología Clientes'!$L$6)))))))))))</f>
        <v>0.37354729180664842</v>
      </c>
      <c r="D11" s="113">
        <f t="shared" ref="D11:D13" si="2">B11/365/C11</f>
        <v>7.2015968133261429E-2</v>
      </c>
      <c r="E11" s="76" t="str">
        <f>IF(B11&gt;'Peajes Actuales'!$C$14,'Peajes Actuales'!$B$14,IF(B11&gt;'Peajes Actuales'!$C$13,'Peajes Actuales'!$B$13,IF(B11&gt;'Peajes Actuales'!$C$12,'Peajes Actuales'!$B$12,'Peajes Actuales'!$B$11)))</f>
        <v>3.2</v>
      </c>
      <c r="F11" s="88">
        <f>'Peajes Actuales'!$H$29</f>
        <v>19.612000000000002</v>
      </c>
      <c r="G11" s="88">
        <f>'Peajes Actuales'!$I$29</f>
        <v>0.11599999999999999</v>
      </c>
      <c r="H11" s="123">
        <f t="shared" ref="H11:H13" si="3">D11*F11*12</f>
        <v>16.948526004354278</v>
      </c>
      <c r="I11" s="123">
        <f t="shared" ref="I11:I13" si="4">B11*G11</f>
        <v>1.1390040000000001</v>
      </c>
      <c r="J11" s="122">
        <f t="shared" ref="J11:J13" si="5">H11+I11</f>
        <v>18.087530004354278</v>
      </c>
      <c r="K11" s="89">
        <f>'Peajes Actuales'!$I$5</f>
        <v>10.848000000000001</v>
      </c>
      <c r="L11" s="122">
        <f t="shared" ref="L11:L13" si="6">12*K11*D11</f>
        <v>9.3747506677154409</v>
      </c>
      <c r="M11" s="87">
        <f>VLOOKUP(E11,'Peajes Actuales'!$B$11:$J$14,8,FALSE)</f>
        <v>5.79</v>
      </c>
      <c r="N11" s="90">
        <f>VLOOKUP(E11,'Peajes Actuales'!$B$11:$J$14,9,FALSE)</f>
        <v>22.413</v>
      </c>
      <c r="O11" s="123">
        <f t="shared" ref="O11:O13" si="7">M11*12</f>
        <v>69.48</v>
      </c>
      <c r="P11" s="123">
        <f t="shared" ref="P11:P13" si="8">B11*N11</f>
        <v>220.07324700000001</v>
      </c>
      <c r="Q11" s="122">
        <f t="shared" ref="Q11:Q13" si="9">SUM(O11:P11)</f>
        <v>289.553247</v>
      </c>
      <c r="R11" s="124">
        <f t="shared" ref="R11:R13" si="10">J11+L11+Q11</f>
        <v>317.01552767206971</v>
      </c>
      <c r="S11" s="79">
        <f t="shared" ref="S11:S13" si="11">R11/B11</f>
        <v>32.285928065186852</v>
      </c>
      <c r="U11" s="76" t="str">
        <f>IF(B11&gt;'Peajes Circular CNMC'!$C$23,'Peajes Circular CNMC'!$B$23,IF(B11&gt;'Peajes Circular CNMC'!$C$22,'Peajes Circular CNMC'!$B$22,IF(B11&gt;'Peajes Circular CNMC'!$C$21,'Peajes Circular CNMC'!$B$21,IF(B11&gt;'Peajes Circular CNMC'!$C$20,'Peajes Circular CNMC'!$B$20,IF(B11&gt;'Peajes Circular CNMC'!$C$19,'Peajes Circular CNMC'!$B$19,IF(B11&gt;'Peajes Circular CNMC'!$C$18,'Peajes Circular CNMC'!$B$18,IF(B11&gt;'Peajes Circular CNMC'!$C$17,'Peajes Circular CNMC'!$B$17,IF(B11&gt;'Peajes Circular CNMC'!$C$16,'Peajes Circular CNMC'!$B$16,IF(B11&gt;'Peajes Circular CNMC'!$C$15,'Peajes Circular CNMC'!$B$15,IF(B11&gt;'Peajes Circular CNMC'!$C$14,'Peajes Circular CNMC'!$B$14,'Peajes Circular CNMC'!$B$13))))))))))</f>
        <v>D.2</v>
      </c>
      <c r="V11" s="96">
        <f>'Peajes Circular CNMC'!$H$30</f>
        <v>29.867609999999999</v>
      </c>
      <c r="W11" s="88">
        <f>'Peajes Circular CNMC'!$I$30</f>
        <v>0.15190999999999999</v>
      </c>
      <c r="X11" s="123">
        <f t="shared" ref="X11:X13" si="12">12*V11*D11</f>
        <v>25.811338199720165</v>
      </c>
      <c r="Y11" s="123">
        <f t="shared" ref="Y11:Y13" si="13">W11*B11</f>
        <v>1.4916042899999999</v>
      </c>
      <c r="Z11" s="122">
        <f t="shared" ref="Z11:Z13" si="14">X11+Y11</f>
        <v>27.302942489720166</v>
      </c>
      <c r="AA11" s="88">
        <f>'Peajes Circular CNMC'!$H$35</f>
        <v>0.26106499999999999</v>
      </c>
      <c r="AB11" s="122">
        <f t="shared" ref="AB11:AB13" si="15">B11*AA11</f>
        <v>2.5633972350000001</v>
      </c>
      <c r="AC11" s="97">
        <f>'Peajes Circular CNMC'!$J$6</f>
        <v>20.326666666666664</v>
      </c>
      <c r="AD11" s="97">
        <f>'Peajes Circular CNMC'!$J$7</f>
        <v>2.2599999999999999E-2</v>
      </c>
      <c r="AE11" s="123">
        <f t="shared" ref="AE11:AE13" si="16">AC11*12*D11</f>
        <v>17.566134947065123</v>
      </c>
      <c r="AF11" s="123">
        <f t="shared" ref="AF11:AF13" si="17">AD11*B11</f>
        <v>0.22190940000000001</v>
      </c>
      <c r="AG11" s="122">
        <f t="shared" ref="AG11:AG13" si="18">AE11+AF11</f>
        <v>17.788044347065124</v>
      </c>
      <c r="AH11" s="97">
        <f>'Peajes Circular CNMC'!$K$6</f>
        <v>12.351666666666667</v>
      </c>
      <c r="AI11" s="97">
        <f>'Peajes Circular CNMC'!$K$7</f>
        <v>2.2599999999999999E-2</v>
      </c>
      <c r="AJ11" s="123">
        <f t="shared" ref="AJ11:AJ13" si="19">AH11*12*D11</f>
        <v>10.674206796712008</v>
      </c>
      <c r="AK11" s="123">
        <f t="shared" ref="AK11:AK13" si="20">AI11*B11</f>
        <v>0.22190940000000001</v>
      </c>
      <c r="AL11" s="122">
        <f t="shared" ref="AL11:AL13" si="21">AJ11+AK11</f>
        <v>10.896116196712008</v>
      </c>
      <c r="AM11" s="98">
        <f>VLOOKUP(U11,'Peajes Circular CNMC'!$B$13:$J$23,7,FALSE)</f>
        <v>0</v>
      </c>
      <c r="AN11" s="87">
        <f>VLOOKUP(U11,'Peajes Circular CNMC'!$B$13:$J$23,8,FALSE)</f>
        <v>2.6749999999999998</v>
      </c>
      <c r="AO11" s="87">
        <f>VLOOKUP(U11,'Peajes Circular CNMC'!$B$13:$J$23,9,FALSE)</f>
        <v>16.984999999999999</v>
      </c>
      <c r="AP11" s="123">
        <f t="shared" ref="AP11:AP13" si="22">12*AM11*D11</f>
        <v>0</v>
      </c>
      <c r="AQ11" s="123">
        <f t="shared" ref="AQ11:AQ13" si="23">12*AN11</f>
        <v>32.099999999999994</v>
      </c>
      <c r="AR11" s="123">
        <f t="shared" ref="AR11:AR13" si="24">AO11*B11</f>
        <v>166.77571500000002</v>
      </c>
      <c r="AS11" s="122">
        <f t="shared" ref="AS11:AS13" si="25">AP11+AQ11+AR11</f>
        <v>198.87571500000001</v>
      </c>
      <c r="AT11" s="124">
        <f>Z11+AB11+AG11+AL11+AS11</f>
        <v>257.42621526849729</v>
      </c>
      <c r="AU11" s="79">
        <f t="shared" ref="AU11:AU13" si="26">AT11/B11</f>
        <v>26.217151977645102</v>
      </c>
      <c r="AW11" s="75">
        <f t="shared" ref="AW11:AW13" si="27">(Z11-J11)/J11</f>
        <v>0.5094898243788637</v>
      </c>
      <c r="AX11" s="100">
        <f t="shared" ref="AX11:AX13" si="28">(AG11-L11)/L11</f>
        <v>0.89744186032842432</v>
      </c>
      <c r="AY11" s="100">
        <f t="shared" ref="AY11:AY13" si="29">(AL11+AS11-Q11)/Q11</f>
        <v>-0.27553279622966198</v>
      </c>
      <c r="AZ11" s="125">
        <f t="shared" si="0"/>
        <v>-59.589312403572421</v>
      </c>
      <c r="BA11" s="100">
        <f t="shared" si="1"/>
        <v>-0.18796969612546355</v>
      </c>
      <c r="BB11" s="192">
        <f t="shared" ref="BB11:BB13" si="30">AU11-S11</f>
        <v>-6.0687760875417496</v>
      </c>
    </row>
    <row r="12" spans="2:54">
      <c r="B12" s="105">
        <v>71.343000000000004</v>
      </c>
      <c r="C12" s="112">
        <f>IF($C$5&lt;&gt;"Memoria CNMC",$C$5,IF(B12&gt;'Tipología Clientes'!$C$16,'Tipología Clientes'!$L$16,IF(B12&gt;'Tipología Clientes'!$C$15,'Tipología Clientes'!$L$15,IF(B12&gt;'Tipología Clientes'!$C$14,'Tipología Clientes'!$L$14,IF(B12&gt;'Tipología Clientes'!$C$13,'Tipología Clientes'!$L$13,IF(B12&gt;'Tipología Clientes'!$C$12,'Tipología Clientes'!$L$12,IF(B12&gt;'Tipología Clientes'!$C$11,'Tipología Clientes'!$L$11,IF(B12&gt;'Tipología Clientes'!$C$10,'Tipología Clientes'!$L$10,IF(B12&gt;'Tipología Clientes'!$C$9,'Tipología Clientes'!$L$9,IF(B12&gt;'Tipología Clientes'!$C$8,'Tipología Clientes'!$L$8,IF(B12&gt;'Tipología Clientes'!$C$7,'Tipología Clientes'!$L$7,'Tipología Clientes'!$L$6)))))))))))</f>
        <v>0.43037532312486537</v>
      </c>
      <c r="D12" s="113">
        <f t="shared" si="2"/>
        <v>0.45416236357002648</v>
      </c>
      <c r="E12" s="76" t="str">
        <f>IF(B12&gt;'Peajes Actuales'!$C$14,'Peajes Actuales'!$B$14,IF(B12&gt;'Peajes Actuales'!$C$13,'Peajes Actuales'!$B$13,IF(B12&gt;'Peajes Actuales'!$C$12,'Peajes Actuales'!$B$12,'Peajes Actuales'!$B$11)))</f>
        <v>3.3</v>
      </c>
      <c r="F12" s="88">
        <f>'Peajes Actuales'!$H$29</f>
        <v>19.612000000000002</v>
      </c>
      <c r="G12" s="88">
        <f>'Peajes Actuales'!$I$29</f>
        <v>0.11599999999999999</v>
      </c>
      <c r="H12" s="123">
        <f t="shared" si="3"/>
        <v>106.88438729202433</v>
      </c>
      <c r="I12" s="123">
        <f t="shared" si="4"/>
        <v>8.2757880000000004</v>
      </c>
      <c r="J12" s="122">
        <f t="shared" si="5"/>
        <v>115.16017529202433</v>
      </c>
      <c r="K12" s="89">
        <f>'Peajes Actuales'!$I$5</f>
        <v>10.848000000000001</v>
      </c>
      <c r="L12" s="122">
        <f t="shared" si="6"/>
        <v>59.121039840091775</v>
      </c>
      <c r="M12" s="87">
        <f>VLOOKUP(E12,'Peajes Actuales'!$B$11:$J$14,8,FALSE)</f>
        <v>54.22</v>
      </c>
      <c r="N12" s="90">
        <f>VLOOKUP(E12,'Peajes Actuales'!$B$11:$J$14,9,FALSE)</f>
        <v>16.117000000000001</v>
      </c>
      <c r="O12" s="123">
        <f t="shared" si="7"/>
        <v>650.64</v>
      </c>
      <c r="P12" s="123">
        <f t="shared" si="8"/>
        <v>1149.835131</v>
      </c>
      <c r="Q12" s="122">
        <f t="shared" si="9"/>
        <v>1800.4751310000001</v>
      </c>
      <c r="R12" s="124">
        <f t="shared" si="10"/>
        <v>1974.7563461321163</v>
      </c>
      <c r="S12" s="79">
        <f t="shared" si="11"/>
        <v>27.679749185373705</v>
      </c>
      <c r="U12" s="76" t="str">
        <f>IF(B12&gt;'Peajes Circular CNMC'!$C$23,'Peajes Circular CNMC'!$B$23,IF(B12&gt;'Peajes Circular CNMC'!$C$22,'Peajes Circular CNMC'!$B$22,IF(B12&gt;'Peajes Circular CNMC'!$C$21,'Peajes Circular CNMC'!$B$21,IF(B12&gt;'Peajes Circular CNMC'!$C$20,'Peajes Circular CNMC'!$B$20,IF(B12&gt;'Peajes Circular CNMC'!$C$19,'Peajes Circular CNMC'!$B$19,IF(B12&gt;'Peajes Circular CNMC'!$C$18,'Peajes Circular CNMC'!$B$18,IF(B12&gt;'Peajes Circular CNMC'!$C$17,'Peajes Circular CNMC'!$B$17,IF(B12&gt;'Peajes Circular CNMC'!$C$16,'Peajes Circular CNMC'!$B$16,IF(B12&gt;'Peajes Circular CNMC'!$C$15,'Peajes Circular CNMC'!$B$15,IF(B12&gt;'Peajes Circular CNMC'!$C$14,'Peajes Circular CNMC'!$B$14,'Peajes Circular CNMC'!$B$13))))))))))</f>
        <v>D.4</v>
      </c>
      <c r="V12" s="96">
        <f>'Peajes Circular CNMC'!$H$30</f>
        <v>29.867609999999999</v>
      </c>
      <c r="W12" s="88">
        <f>'Peajes Circular CNMC'!$I$30</f>
        <v>0.15190999999999999</v>
      </c>
      <c r="X12" s="123">
        <f t="shared" si="12"/>
        <v>162.77693222145311</v>
      </c>
      <c r="Y12" s="123">
        <f t="shared" si="13"/>
        <v>10.837715129999999</v>
      </c>
      <c r="Z12" s="122">
        <f t="shared" si="14"/>
        <v>173.6146473514531</v>
      </c>
      <c r="AA12" s="88">
        <f>'Peajes Circular CNMC'!$H$35</f>
        <v>0.26106499999999999</v>
      </c>
      <c r="AB12" s="122">
        <f t="shared" si="15"/>
        <v>18.625160295000001</v>
      </c>
      <c r="AC12" s="97">
        <f>'Peajes Circular CNMC'!$J$6</f>
        <v>20.326666666666664</v>
      </c>
      <c r="AD12" s="97">
        <f>'Peajes Circular CNMC'!$J$7</f>
        <v>2.2599999999999999E-2</v>
      </c>
      <c r="AE12" s="123">
        <f t="shared" si="16"/>
        <v>110.77928372200084</v>
      </c>
      <c r="AF12" s="123">
        <f t="shared" si="17"/>
        <v>1.6123517999999999</v>
      </c>
      <c r="AG12" s="122">
        <f t="shared" si="18"/>
        <v>112.39163552200084</v>
      </c>
      <c r="AH12" s="97">
        <f>'Peajes Circular CNMC'!$K$6</f>
        <v>12.351666666666667</v>
      </c>
      <c r="AI12" s="97">
        <f>'Peajes Circular CNMC'!$K$7</f>
        <v>2.2599999999999999E-2</v>
      </c>
      <c r="AJ12" s="123">
        <f t="shared" si="19"/>
        <v>67.315945528349332</v>
      </c>
      <c r="AK12" s="123">
        <f t="shared" si="20"/>
        <v>1.6123517999999999</v>
      </c>
      <c r="AL12" s="122">
        <f t="shared" si="21"/>
        <v>68.928297328349331</v>
      </c>
      <c r="AM12" s="98">
        <f>VLOOKUP(U12,'Peajes Circular CNMC'!$B$13:$J$23,7,FALSE)</f>
        <v>0</v>
      </c>
      <c r="AN12" s="87">
        <f>VLOOKUP(U12,'Peajes Circular CNMC'!$B$13:$J$23,8,FALSE)</f>
        <v>45.389000000000003</v>
      </c>
      <c r="AO12" s="87">
        <f>VLOOKUP(U12,'Peajes Circular CNMC'!$B$13:$J$23,9,FALSE)</f>
        <v>14.335000000000001</v>
      </c>
      <c r="AP12" s="123">
        <f t="shared" si="22"/>
        <v>0</v>
      </c>
      <c r="AQ12" s="123">
        <f t="shared" si="23"/>
        <v>544.66800000000001</v>
      </c>
      <c r="AR12" s="123">
        <f t="shared" si="24"/>
        <v>1022.7019050000001</v>
      </c>
      <c r="AS12" s="122">
        <f t="shared" si="25"/>
        <v>1567.369905</v>
      </c>
      <c r="AT12" s="124">
        <f>Z12+AB12+AG12+AL12+AS12</f>
        <v>1940.9296454968032</v>
      </c>
      <c r="AU12" s="79">
        <f t="shared" si="26"/>
        <v>27.205607354566013</v>
      </c>
      <c r="AW12" s="75">
        <f t="shared" si="27"/>
        <v>0.5075927673017111</v>
      </c>
      <c r="AX12" s="100">
        <f t="shared" si="28"/>
        <v>0.90104294217410996</v>
      </c>
      <c r="AY12" s="100">
        <f t="shared" si="29"/>
        <v>-9.1185335384480121E-2</v>
      </c>
      <c r="AZ12" s="125">
        <f t="shared" si="0"/>
        <v>-33.826700635313045</v>
      </c>
      <c r="BA12" s="100">
        <f t="shared" si="1"/>
        <v>-1.7129556616728023E-2</v>
      </c>
      <c r="BB12" s="192">
        <f t="shared" si="30"/>
        <v>-0.47414183080769234</v>
      </c>
    </row>
    <row r="13" spans="2:54">
      <c r="B13" s="105">
        <v>475</v>
      </c>
      <c r="C13" s="112">
        <f>IF($C$5&lt;&gt;"Memoria CNMC",$C$5,IF(B13&gt;'Tipología Clientes'!$C$16,'Tipología Clientes'!$L$16,IF(B13&gt;'Tipología Clientes'!$C$15,'Tipología Clientes'!$L$15,IF(B13&gt;'Tipología Clientes'!$C$14,'Tipología Clientes'!$L$14,IF(B13&gt;'Tipología Clientes'!$C$13,'Tipología Clientes'!$L$13,IF(B13&gt;'Tipología Clientes'!$C$12,'Tipología Clientes'!$L$12,IF(B13&gt;'Tipología Clientes'!$C$11,'Tipología Clientes'!$L$11,IF(B13&gt;'Tipología Clientes'!$C$10,'Tipología Clientes'!$L$10,IF(B13&gt;'Tipología Clientes'!$C$9,'Tipología Clientes'!$L$9,IF(B13&gt;'Tipología Clientes'!$C$8,'Tipología Clientes'!$L$8,IF(B13&gt;'Tipología Clientes'!$C$7,'Tipología Clientes'!$L$7,'Tipología Clientes'!$L$6)))))))))))</f>
        <v>0.41959262584789264</v>
      </c>
      <c r="D13" s="113">
        <f t="shared" si="2"/>
        <v>3.1015079456745767</v>
      </c>
      <c r="E13" s="76" t="str">
        <f>IF(B13&gt;'Peajes Actuales'!$C$14,'Peajes Actuales'!$B$14,IF(B13&gt;'Peajes Actuales'!$C$13,'Peajes Actuales'!$B$13,IF(B13&gt;'Peajes Actuales'!$C$12,'Peajes Actuales'!$B$12,'Peajes Actuales'!$B$11)))</f>
        <v>3.4</v>
      </c>
      <c r="F13" s="88">
        <f>'Peajes Actuales'!$H$29</f>
        <v>19.612000000000002</v>
      </c>
      <c r="G13" s="88">
        <f>'Peajes Actuales'!$I$29</f>
        <v>0.11599999999999999</v>
      </c>
      <c r="H13" s="123">
        <f t="shared" si="3"/>
        <v>729.92128596683767</v>
      </c>
      <c r="I13" s="123">
        <f t="shared" si="4"/>
        <v>55.099999999999994</v>
      </c>
      <c r="J13" s="122">
        <f t="shared" si="5"/>
        <v>785.0212859668377</v>
      </c>
      <c r="K13" s="89">
        <f>'Peajes Actuales'!$I$5</f>
        <v>10.848000000000001</v>
      </c>
      <c r="L13" s="122">
        <f t="shared" si="6"/>
        <v>403.74189833613372</v>
      </c>
      <c r="M13" s="87">
        <f>VLOOKUP(E13,'Peajes Actuales'!$B$11:$J$14,8,FALSE)</f>
        <v>80.97</v>
      </c>
      <c r="N13" s="90">
        <f>VLOOKUP(E13,'Peajes Actuales'!$B$11:$J$14,9,FALSE)</f>
        <v>13.012</v>
      </c>
      <c r="O13" s="123">
        <f t="shared" si="7"/>
        <v>971.64</v>
      </c>
      <c r="P13" s="123">
        <f t="shared" si="8"/>
        <v>6180.7</v>
      </c>
      <c r="Q13" s="122">
        <f t="shared" si="9"/>
        <v>7152.34</v>
      </c>
      <c r="R13" s="124">
        <f t="shared" si="10"/>
        <v>8341.1031843029723</v>
      </c>
      <c r="S13" s="79">
        <f t="shared" si="11"/>
        <v>17.560217230111519</v>
      </c>
      <c r="U13" s="76" t="str">
        <f>IF(B13&gt;'Peajes Circular CNMC'!$C$23,'Peajes Circular CNMC'!$B$23,IF(B13&gt;'Peajes Circular CNMC'!$C$22,'Peajes Circular CNMC'!$B$22,IF(B13&gt;'Peajes Circular CNMC'!$C$21,'Peajes Circular CNMC'!$B$21,IF(B13&gt;'Peajes Circular CNMC'!$C$20,'Peajes Circular CNMC'!$B$20,IF(B13&gt;'Peajes Circular CNMC'!$C$19,'Peajes Circular CNMC'!$B$19,IF(B13&gt;'Peajes Circular CNMC'!$C$18,'Peajes Circular CNMC'!$B$18,IF(B13&gt;'Peajes Circular CNMC'!$C$17,'Peajes Circular CNMC'!$B$17,IF(B13&gt;'Peajes Circular CNMC'!$C$16,'Peajes Circular CNMC'!$B$16,IF(B13&gt;'Peajes Circular CNMC'!$C$15,'Peajes Circular CNMC'!$B$15,IF(B13&gt;'Peajes Circular CNMC'!$C$14,'Peajes Circular CNMC'!$B$14,'Peajes Circular CNMC'!$B$13))))))))))</f>
        <v>D.5</v>
      </c>
      <c r="V13" s="96">
        <f>'Peajes Circular CNMC'!$H$30</f>
        <v>29.867609999999999</v>
      </c>
      <c r="W13" s="88">
        <f>'Peajes Circular CNMC'!$I$30</f>
        <v>0.15190999999999999</v>
      </c>
      <c r="X13" s="123">
        <f t="shared" si="12"/>
        <v>1111.6155567997132</v>
      </c>
      <c r="Y13" s="123">
        <f t="shared" si="13"/>
        <v>72.157249999999991</v>
      </c>
      <c r="Z13" s="122">
        <f t="shared" si="14"/>
        <v>1183.7728067997132</v>
      </c>
      <c r="AA13" s="88">
        <f>'Peajes Circular CNMC'!$H$35</f>
        <v>0.26106499999999999</v>
      </c>
      <c r="AB13" s="122">
        <f t="shared" si="15"/>
        <v>124.00587499999999</v>
      </c>
      <c r="AC13" s="97">
        <f>'Peajes Circular CNMC'!$J$6</f>
        <v>20.326666666666664</v>
      </c>
      <c r="AD13" s="97">
        <f>'Peajes Circular CNMC'!$J$7</f>
        <v>2.2599999999999999E-2</v>
      </c>
      <c r="AE13" s="123">
        <f t="shared" si="16"/>
        <v>756.51981810894256</v>
      </c>
      <c r="AF13" s="123">
        <f t="shared" si="17"/>
        <v>10.734999999999999</v>
      </c>
      <c r="AG13" s="122">
        <f t="shared" si="18"/>
        <v>767.25481810894257</v>
      </c>
      <c r="AH13" s="97">
        <f>'Peajes Circular CNMC'!$K$6</f>
        <v>12.351666666666667</v>
      </c>
      <c r="AI13" s="97">
        <f>'Peajes Circular CNMC'!$K$7</f>
        <v>2.2599999999999999E-2</v>
      </c>
      <c r="AJ13" s="123">
        <f t="shared" si="19"/>
        <v>459.70550770788577</v>
      </c>
      <c r="AK13" s="123">
        <f t="shared" si="20"/>
        <v>10.734999999999999</v>
      </c>
      <c r="AL13" s="122">
        <f t="shared" si="21"/>
        <v>470.44050770788579</v>
      </c>
      <c r="AM13" s="98">
        <f>VLOOKUP(U13,'Peajes Circular CNMC'!$B$13:$J$23,7,FALSE)</f>
        <v>0</v>
      </c>
      <c r="AN13" s="87">
        <f>VLOOKUP(U13,'Peajes Circular CNMC'!$B$13:$J$23,8,FALSE)</f>
        <v>221.929</v>
      </c>
      <c r="AO13" s="87">
        <f>VLOOKUP(U13,'Peajes Circular CNMC'!$B$13:$J$23,9,FALSE)</f>
        <v>14.445</v>
      </c>
      <c r="AP13" s="123">
        <f t="shared" si="22"/>
        <v>0</v>
      </c>
      <c r="AQ13" s="123">
        <f t="shared" si="23"/>
        <v>2663.1480000000001</v>
      </c>
      <c r="AR13" s="123">
        <f t="shared" si="24"/>
        <v>6861.375</v>
      </c>
      <c r="AS13" s="122">
        <f t="shared" si="25"/>
        <v>9524.523000000001</v>
      </c>
      <c r="AT13" s="124">
        <f>Z13+AB13+AG13+AL13+AS13</f>
        <v>12069.997007616543</v>
      </c>
      <c r="AU13" s="79">
        <f t="shared" si="26"/>
        <v>25.410520016034827</v>
      </c>
      <c r="AW13" s="75">
        <f t="shared" si="27"/>
        <v>0.50794994729572251</v>
      </c>
      <c r="AX13" s="100">
        <f t="shared" si="28"/>
        <v>0.90035966361402409</v>
      </c>
      <c r="AY13" s="100">
        <f t="shared" si="29"/>
        <v>0.39743965019949934</v>
      </c>
      <c r="AZ13" s="125">
        <f t="shared" si="0"/>
        <v>3728.8938233135705</v>
      </c>
      <c r="BA13" s="100">
        <f t="shared" si="1"/>
        <v>0.44705043696509278</v>
      </c>
      <c r="BB13" s="192">
        <f t="shared" si="30"/>
        <v>7.8503027859233079</v>
      </c>
    </row>
    <row r="25" spans="14:14">
      <c r="N25" s="67" t="e">
        <f>I25/SUM($I$25:$I$29)</f>
        <v>#DIV/0!</v>
      </c>
    </row>
    <row r="29" spans="14:14">
      <c r="N29" s="67" t="e">
        <f>I29/SUM($I$25:$I$29)</f>
        <v>#DIV/0!</v>
      </c>
    </row>
  </sheetData>
  <mergeCells count="16">
    <mergeCell ref="R8:S8"/>
    <mergeCell ref="AT8:AU8"/>
    <mergeCell ref="AZ8:BA8"/>
    <mergeCell ref="C5:D5"/>
    <mergeCell ref="F6:S6"/>
    <mergeCell ref="V6:AU6"/>
    <mergeCell ref="F7:J7"/>
    <mergeCell ref="K7:L7"/>
    <mergeCell ref="M7:Q7"/>
    <mergeCell ref="R7:S7"/>
    <mergeCell ref="V7:Z7"/>
    <mergeCell ref="AC7:AG7"/>
    <mergeCell ref="AH7:AL7"/>
    <mergeCell ref="AM7:AS7"/>
    <mergeCell ref="AT7:AU7"/>
    <mergeCell ref="AA7:AB7"/>
  </mergeCells>
  <conditionalFormatting sqref="AZ10:AZ13">
    <cfRule type="cellIs" dxfId="31" priority="8" operator="greaterThan">
      <formula>0</formula>
    </cfRule>
  </conditionalFormatting>
  <conditionalFormatting sqref="BA10:BA13">
    <cfRule type="cellIs" dxfId="30" priority="7" operator="greaterThan">
      <formula>0</formula>
    </cfRule>
  </conditionalFormatting>
  <conditionalFormatting sqref="AZ10:AZ13">
    <cfRule type="cellIs" dxfId="29" priority="6" operator="lessThan">
      <formula>0</formula>
    </cfRule>
  </conditionalFormatting>
  <conditionalFormatting sqref="BA10:BA13">
    <cfRule type="cellIs" dxfId="28" priority="5" operator="lessThan">
      <formula>0</formula>
    </cfRule>
  </conditionalFormatting>
  <conditionalFormatting sqref="AW10:AY13">
    <cfRule type="cellIs" dxfId="27" priority="4" operator="greaterThan">
      <formula>0</formula>
    </cfRule>
  </conditionalFormatting>
  <conditionalFormatting sqref="AW10:AY13">
    <cfRule type="cellIs" dxfId="26" priority="3" operator="lessThan">
      <formula>0</formula>
    </cfRule>
  </conditionalFormatting>
  <conditionalFormatting sqref="BB10:BB13">
    <cfRule type="cellIs" dxfId="25" priority="2" operator="greaterThan">
      <formula>0</formula>
    </cfRule>
  </conditionalFormatting>
  <conditionalFormatting sqref="BB10:BB13">
    <cfRule type="cellIs" dxfId="24" priority="1" operator="lessThan">
      <formula>0</formula>
    </cfRule>
  </conditionalFormatting>
  <dataValidations count="1">
    <dataValidation type="list" allowBlank="1" showInputMessage="1" showErrorMessage="1" sqref="C5">
      <mc:AlternateContent xmlns:x12ac="http://schemas.microsoft.com/office/spreadsheetml/2011/1/ac" xmlns:mc="http://schemas.openxmlformats.org/markup-compatibility/2006">
        <mc:Choice Requires="x12ac">
          <x12ac:list>Memoria CNMC,"0,80","0,85","0,90"</x12ac:list>
        </mc:Choice>
        <mc:Fallback>
          <formula1>"Memoria CNMC,0,80,0,85,0,90"</formula1>
        </mc:Fallback>
      </mc:AlternateContent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8" orientation="landscape" r:id="rId1"/>
  <headerFooter>
    <oddHeader>&amp;LANEXO I: CÁLCULOS DEL IMPACTO INICIAL DE LA NUEVA METODOLOGÍA DE PEAJES SOBRE LOS CLIENTES&amp;R&amp;A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12</vt:i4>
      </vt:variant>
    </vt:vector>
  </HeadingPairs>
  <TitlesOfParts>
    <vt:vector size="26" baseType="lpstr">
      <vt:lpstr>Tipología Clientes</vt:lpstr>
      <vt:lpstr>Peajes Actuales</vt:lpstr>
      <vt:lpstr>Peajes Circular CNMC</vt:lpstr>
      <vt:lpstr>Grupo 2</vt:lpstr>
      <vt:lpstr>Grupo 2 Promedio</vt:lpstr>
      <vt:lpstr>Peaje 3.5</vt:lpstr>
      <vt:lpstr>Peaje 3.5 Nocturno</vt:lpstr>
      <vt:lpstr>Grupo 3</vt:lpstr>
      <vt:lpstr>Grupo 3 Promedio</vt:lpstr>
      <vt:lpstr>Grupo 3 GNL</vt:lpstr>
      <vt:lpstr>Grupo 3 GNL Promedio</vt:lpstr>
      <vt:lpstr>PS GNL Monocliente</vt:lpstr>
      <vt:lpstr>PS GNL Monocliente G2 Medios</vt:lpstr>
      <vt:lpstr>Discontinuidades</vt:lpstr>
      <vt:lpstr>'Grupo 3'!Área_de_impresión</vt:lpstr>
      <vt:lpstr>'Peajes Actuales'!Área_de_impresión</vt:lpstr>
      <vt:lpstr>'Peajes Circular CNMC'!Área_de_impresión</vt:lpstr>
      <vt:lpstr>'Grupo 3'!Print_Area</vt:lpstr>
      <vt:lpstr>'Grupo 3 GNL'!Print_Area</vt:lpstr>
      <vt:lpstr>'Grupo 3 GNL Promedio'!Print_Area</vt:lpstr>
      <vt:lpstr>'Grupo 3 Promedio'!Print_Area</vt:lpstr>
      <vt:lpstr>'Peaje 3.5 Nocturno'!Print_Area</vt:lpstr>
      <vt:lpstr>'Peajes Actuales'!Print_Area</vt:lpstr>
      <vt:lpstr>'Peajes Circular CNMC'!Print_Area</vt:lpstr>
      <vt:lpstr>'PS GNL Monocliente'!Print_Area</vt:lpstr>
      <vt:lpstr>'PS GNL Monocliente G2 Medios'!Print_Area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Aguilera Cupido</dc:creator>
  <cp:lastModifiedBy>David Aguilera Cupido</cp:lastModifiedBy>
  <cp:lastPrinted>2019-09-27T07:15:11Z</cp:lastPrinted>
  <dcterms:created xsi:type="dcterms:W3CDTF">2019-08-26T10:54:09Z</dcterms:created>
  <dcterms:modified xsi:type="dcterms:W3CDTF">2019-09-27T07:38:27Z</dcterms:modified>
</cp:coreProperties>
</file>