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5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6.xml" ContentType="application/vnd.openxmlformats-officedocument.drawing+xml"/>
  <Override PartName="/xl/comments2.xml" ContentType="application/vnd.openxmlformats-officedocument.spreadsheetml.comments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3170" firstSheet="6" activeTab="10"/>
  </bookViews>
  <sheets>
    <sheet name="Tipología Clientes" sheetId="1" r:id="rId1"/>
    <sheet name="Peajes Actuales" sheetId="2" r:id="rId2"/>
    <sheet name="Peajes Circular CNMC" sheetId="3" r:id="rId3"/>
    <sheet name="Promedios Peajes Circular" sheetId="18" r:id="rId4"/>
    <sheet name="Resumen Promedios" sheetId="14" r:id="rId5"/>
    <sheet name="Grupo 2 Promedio" sheetId="9" r:id="rId6"/>
    <sheet name="Grupo 3 Promedio" sheetId="10" r:id="rId7"/>
    <sheet name="Grupo 3 GNL Promedio" sheetId="12" r:id="rId8"/>
    <sheet name="Peaje 3.5" sheetId="5" r:id="rId9"/>
    <sheet name="Peaje 3.5 Nocturno" sheetId="11" r:id="rId10"/>
    <sheet name="PS GNL Monocliente Promedios G2" sheetId="15" r:id="rId11"/>
  </sheets>
  <definedNames>
    <definedName name="_xlnm.Print_Area" localSheetId="7">'Grupo 3 GNL Promedio'!$A$1:$AP$56</definedName>
    <definedName name="_xlnm.Print_Area" localSheetId="6">'Grupo 3 Promedio'!$A$1:$BB$58</definedName>
    <definedName name="_xlnm.Print_Area" localSheetId="9">'Peaje 3.5 Nocturno'!$A$1:$BB$68</definedName>
    <definedName name="_xlnm.Print_Area" localSheetId="1">'Peajes Actuales'!$A$1:$Q$36</definedName>
    <definedName name="_xlnm.Print_Area" localSheetId="2">'Peajes Circular CNMC'!$A$1:$Q$43</definedName>
    <definedName name="_xlnm.Print_Area" localSheetId="10">'PS GNL Monocliente Promedios G2'!$A$1:$AV$58</definedName>
    <definedName name="Z_96C67CFB_CE46_46EB_8800_9D77F2045444_.wvu.Cols" localSheetId="7" hidden="1">'Grupo 3 GNL Promedio'!$F:$I,'Grupo 3 GNL Promedio'!#REF!,'Grupo 3 GNL Promedio'!$K:$O,'Grupo 3 GNL Promedio'!$U:$X,'Grupo 3 GNL Promedio'!#REF!,'Grupo 3 GNL Promedio'!$AB:$AG,'Grupo 3 GNL Promedio'!$AL:$AM</definedName>
    <definedName name="Z_96C67CFB_CE46_46EB_8800_9D77F2045444_.wvu.Cols" localSheetId="6" hidden="1">'Grupo 3 Promedio'!$F:$I,'Grupo 3 Promedio'!$K:$K,'Grupo 3 Promedio'!$M:$P,'Grupo 3 Promedio'!$V:$Y,'Grupo 3 Promedio'!$AC:$AF,'Grupo 3 Promedio'!$AH:$AK,'Grupo 3 Promedio'!$AM:$AR,'Grupo 3 Promedio'!$AW:$AY</definedName>
    <definedName name="Z_96C67CFB_CE46_46EB_8800_9D77F2045444_.wvu.Cols" localSheetId="8" hidden="1">'Peaje 3.5'!$F:$I,'Peaje 3.5'!$K:$K,'Peaje 3.5'!$M:$P,'Peaje 3.5'!$V:$Y,'Peaje 3.5'!$AC:$AF,'Peaje 3.5'!$AH:$AK,'Peaje 3.5'!$AM:$AR,'Peaje 3.5'!$AW:$AY</definedName>
    <definedName name="Z_96C67CFB_CE46_46EB_8800_9D77F2045444_.wvu.Cols" localSheetId="9" hidden="1">'Peaje 3.5 Nocturno'!$F:$I,'Peaje 3.5 Nocturno'!$K:$K,'Peaje 3.5 Nocturno'!$M:$P,'Peaje 3.5 Nocturno'!$V:$Y,'Peaje 3.5 Nocturno'!$AC:$AF,'Peaje 3.5 Nocturno'!$AH:$AK,'Peaje 3.5 Nocturno'!$AM:$AR,'Peaje 3.5 Nocturno'!$AW:$AY</definedName>
    <definedName name="Z_96C67CFB_CE46_46EB_8800_9D77F2045444_.wvu.Cols" localSheetId="10" hidden="1">'PS GNL Monocliente Promedios G2'!$G:$J,'PS GNL Monocliente Promedios G2'!$N:$Q,'PS GNL Monocliente Promedios G2'!$S:$V,'PS GNL Monocliente Promedios G2'!$X:$AC,'PS GNL Monocliente Promedios G2'!$AH:$AK,'PS GNL Monocliente Promedios G2'!$AO:$AO</definedName>
    <definedName name="Z_96C67CFB_CE46_46EB_8800_9D77F2045444_.wvu.PrintArea" localSheetId="2" hidden="1">'Peajes Circular CNMC'!$A$1:$R$38</definedName>
    <definedName name="Z_DE30ACA8_1284_4798_8E7A_589852EF3C29_.wvu.Cols" localSheetId="5" hidden="1">'Grupo 2 Promedio'!$F:$I,'Grupo 2 Promedio'!$K:$K,'Grupo 2 Promedio'!$M:$P,'Grupo 2 Promedio'!$V:$Y,'Grupo 2 Promedio'!$AC:$AF,'Grupo 2 Promedio'!$AH:$AK,'Grupo 2 Promedio'!$AM:$AR,'Grupo 2 Promedio'!$AW:$AY</definedName>
    <definedName name="Z_DE30ACA8_1284_4798_8E7A_589852EF3C29_.wvu.Cols" localSheetId="7" hidden="1">'Grupo 3 GNL Promedio'!$F:$I,'Grupo 3 GNL Promedio'!#REF!,'Grupo 3 GNL Promedio'!$K:$O,'Grupo 3 GNL Promedio'!$U:$X,'Grupo 3 GNL Promedio'!#REF!,'Grupo 3 GNL Promedio'!$AB:$AG,'Grupo 3 GNL Promedio'!$AL:$AM</definedName>
    <definedName name="Z_DE30ACA8_1284_4798_8E7A_589852EF3C29_.wvu.Cols" localSheetId="6" hidden="1">'Grupo 3 Promedio'!$F:$I,'Grupo 3 Promedio'!$K:$K,'Grupo 3 Promedio'!$M:$P,'Grupo 3 Promedio'!$V:$Y,'Grupo 3 Promedio'!$AC:$AF,'Grupo 3 Promedio'!$AH:$AK,'Grupo 3 Promedio'!$AM:$AR,'Grupo 3 Promedio'!$AW:$AY</definedName>
    <definedName name="Z_DE30ACA8_1284_4798_8E7A_589852EF3C29_.wvu.Cols" localSheetId="8" hidden="1">'Peaje 3.5'!$F:$I,'Peaje 3.5'!$K:$K,'Peaje 3.5'!$M:$P,'Peaje 3.5'!$V:$Y,'Peaje 3.5'!$AC:$AF,'Peaje 3.5'!$AH:$AK,'Peaje 3.5'!$AM:$AR,'Peaje 3.5'!$AW:$AY</definedName>
    <definedName name="Z_DE30ACA8_1284_4798_8E7A_589852EF3C29_.wvu.Cols" localSheetId="9" hidden="1">'Peaje 3.5 Nocturno'!$F:$I,'Peaje 3.5 Nocturno'!$K:$K,'Peaje 3.5 Nocturno'!$M:$P,'Peaje 3.5 Nocturno'!$V:$Y,'Peaje 3.5 Nocturno'!$AC:$AF,'Peaje 3.5 Nocturno'!$AH:$AK,'Peaje 3.5 Nocturno'!$AM:$AR,'Peaje 3.5 Nocturno'!$AW:$AY</definedName>
    <definedName name="Z_DE30ACA8_1284_4798_8E7A_589852EF3C29_.wvu.Cols" localSheetId="10" hidden="1">'PS GNL Monocliente Promedios G2'!$G:$J,'PS GNL Monocliente Promedios G2'!$N:$Q,'PS GNL Monocliente Promedios G2'!$S:$V,'PS GNL Monocliente Promedios G2'!$X:$AC,'PS GNL Monocliente Promedios G2'!$AH:$AK,'PS GNL Monocliente Promedios G2'!$AO:$AO</definedName>
    <definedName name="Z_DE30ACA8_1284_4798_8E7A_589852EF3C29_.wvu.PrintArea" localSheetId="2" hidden="1">'Peajes Circular CNMC'!$A$1:$R$38</definedName>
  </definedNames>
  <calcPr calcId="145621"/>
  <customWorkbookViews>
    <customWorkbookView name="David Aguilera Cupido - Vista personalizada" guid="{96C67CFB-CE46-46EB-8800-9D77F2045444}" mergeInterval="0" personalView="1" maximized="1" windowWidth="1596" windowHeight="711" activeSheetId="4"/>
    <customWorkbookView name="ADMIN - Vista personalizada" guid="{DE30ACA8-1284-4798-8E7A-589852EF3C29}" mergeInterval="0" personalView="1" maximized="1" xWindow="-9" yWindow="-9" windowWidth="1938" windowHeight="1098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1" i="14" l="1"/>
  <c r="C19" i="14"/>
  <c r="L44" i="18"/>
  <c r="L43" i="18"/>
  <c r="L40" i="18"/>
  <c r="L37" i="18"/>
  <c r="L36" i="18"/>
  <c r="L32" i="18"/>
  <c r="L31" i="18"/>
  <c r="L30" i="18"/>
  <c r="L29" i="18"/>
  <c r="L28" i="18"/>
  <c r="L27" i="18"/>
  <c r="L26" i="18"/>
  <c r="L25" i="18"/>
  <c r="L24" i="18"/>
  <c r="L23" i="18"/>
  <c r="L22" i="18"/>
  <c r="L20" i="18"/>
  <c r="L19" i="18"/>
  <c r="L18" i="18"/>
  <c r="L17" i="18"/>
  <c r="L16" i="18"/>
  <c r="L15" i="18"/>
  <c r="L14" i="18"/>
  <c r="L13" i="18"/>
  <c r="L12" i="18"/>
  <c r="L11" i="18"/>
  <c r="L10" i="18"/>
  <c r="L6" i="18"/>
  <c r="L5" i="18"/>
  <c r="L4" i="18"/>
  <c r="C30" i="14" l="1"/>
  <c r="C26" i="14"/>
  <c r="C27" i="14"/>
  <c r="C28" i="14"/>
  <c r="C29" i="14"/>
  <c r="C25" i="14"/>
  <c r="J25" i="14" s="1"/>
  <c r="AN15" i="15"/>
  <c r="AM15" i="15"/>
  <c r="T15" i="15"/>
  <c r="V15" i="15" s="1"/>
  <c r="O15" i="15"/>
  <c r="Q15" i="15" s="1"/>
  <c r="M15" i="15"/>
  <c r="L15" i="15"/>
  <c r="C15" i="15"/>
  <c r="D15" i="15" s="1"/>
  <c r="AM14" i="15"/>
  <c r="AN14" i="15" s="1"/>
  <c r="T14" i="15"/>
  <c r="V14" i="15" s="1"/>
  <c r="O14" i="15"/>
  <c r="Q14" i="15" s="1"/>
  <c r="L14" i="15"/>
  <c r="M14" i="15" s="1"/>
  <c r="C14" i="15"/>
  <c r="D14" i="15" s="1"/>
  <c r="AM13" i="15"/>
  <c r="AN13" i="15" s="1"/>
  <c r="V13" i="15"/>
  <c r="T13" i="15"/>
  <c r="O13" i="15"/>
  <c r="Q13" i="15" s="1"/>
  <c r="M13" i="15"/>
  <c r="L13" i="15"/>
  <c r="C13" i="15"/>
  <c r="D13" i="15" s="1"/>
  <c r="AM12" i="15"/>
  <c r="AN12" i="15" s="1"/>
  <c r="T12" i="15"/>
  <c r="V12" i="15" s="1"/>
  <c r="O12" i="15"/>
  <c r="Q12" i="15" s="1"/>
  <c r="L12" i="15"/>
  <c r="M12" i="15" s="1"/>
  <c r="C12" i="15"/>
  <c r="D12" i="15" s="1"/>
  <c r="AM11" i="15"/>
  <c r="AN11" i="15" s="1"/>
  <c r="T11" i="15"/>
  <c r="V11" i="15" s="1"/>
  <c r="O11" i="15"/>
  <c r="Q11" i="15" s="1"/>
  <c r="L11" i="15"/>
  <c r="M11" i="15" s="1"/>
  <c r="C11" i="15"/>
  <c r="D11" i="15" s="1"/>
  <c r="AM10" i="15"/>
  <c r="AN10" i="15" s="1"/>
  <c r="T10" i="15"/>
  <c r="V10" i="15" s="1"/>
  <c r="O10" i="15"/>
  <c r="Q10" i="15" s="1"/>
  <c r="L10" i="15"/>
  <c r="M10" i="15" s="1"/>
  <c r="C10" i="15"/>
  <c r="D10" i="15" s="1"/>
  <c r="C14" i="14"/>
  <c r="C15" i="14"/>
  <c r="C16" i="14"/>
  <c r="C13" i="14"/>
  <c r="C10" i="14"/>
  <c r="C11" i="14"/>
  <c r="C12" i="14"/>
  <c r="C9" i="14"/>
  <c r="C22" i="14"/>
  <c r="C20" i="14"/>
  <c r="C17" i="11"/>
  <c r="D17" i="11" s="1"/>
  <c r="K17" i="11"/>
  <c r="AA17" i="11"/>
  <c r="AB17" i="11"/>
  <c r="AD17" i="11"/>
  <c r="AF17" i="11" s="1"/>
  <c r="AI17" i="11"/>
  <c r="AK17" i="11"/>
  <c r="C17" i="5"/>
  <c r="D17" i="5" s="1"/>
  <c r="K17" i="5"/>
  <c r="L17" i="5" s="1"/>
  <c r="AA17" i="5"/>
  <c r="AB17" i="5"/>
  <c r="AD17" i="5"/>
  <c r="AF17" i="5" s="1"/>
  <c r="AI17" i="5"/>
  <c r="AK17" i="5" s="1"/>
  <c r="C4" i="14"/>
  <c r="C5" i="14"/>
  <c r="C6" i="14"/>
  <c r="C7" i="14"/>
  <c r="C8" i="14"/>
  <c r="C3" i="14"/>
  <c r="L17" i="11" l="1"/>
  <c r="H23" i="3"/>
  <c r="H22" i="3"/>
  <c r="H21" i="3"/>
  <c r="H20" i="3"/>
  <c r="H19" i="3"/>
  <c r="Z11" i="12" l="1"/>
  <c r="AA11" i="12" s="1"/>
  <c r="Z12" i="12"/>
  <c r="AA12" i="12" s="1"/>
  <c r="Z13" i="12"/>
  <c r="AA13" i="12" s="1"/>
  <c r="Z10" i="12"/>
  <c r="AA10" i="12" s="1"/>
  <c r="AA11" i="10"/>
  <c r="AB11" i="10" s="1"/>
  <c r="AA12" i="10"/>
  <c r="AB12" i="10" s="1"/>
  <c r="AA13" i="10"/>
  <c r="AB13" i="10" s="1"/>
  <c r="AA10" i="10"/>
  <c r="AB10" i="10" s="1"/>
  <c r="AA11" i="11"/>
  <c r="AB11" i="11" s="1"/>
  <c r="AA12" i="11"/>
  <c r="AB12" i="11" s="1"/>
  <c r="AA13" i="11"/>
  <c r="AB13" i="11" s="1"/>
  <c r="AA14" i="11"/>
  <c r="AB14" i="11" s="1"/>
  <c r="AA15" i="11"/>
  <c r="AB15" i="11" s="1"/>
  <c r="AA16" i="11"/>
  <c r="AB16" i="11" s="1"/>
  <c r="AA18" i="11"/>
  <c r="AB18" i="11" s="1"/>
  <c r="AA19" i="11"/>
  <c r="AB19" i="11" s="1"/>
  <c r="AA20" i="11"/>
  <c r="AB20" i="11" s="1"/>
  <c r="AA21" i="11"/>
  <c r="AB21" i="11" s="1"/>
  <c r="AA22" i="11"/>
  <c r="AB22" i="11" s="1"/>
  <c r="AA23" i="11"/>
  <c r="AB23" i="11" s="1"/>
  <c r="AA10" i="11"/>
  <c r="AB10" i="11" s="1"/>
  <c r="AA11" i="5"/>
  <c r="AB11" i="5" s="1"/>
  <c r="AA12" i="5"/>
  <c r="AB12" i="5" s="1"/>
  <c r="AA13" i="5"/>
  <c r="AB13" i="5" s="1"/>
  <c r="AA14" i="5"/>
  <c r="AB14" i="5" s="1"/>
  <c r="AA15" i="5"/>
  <c r="AB15" i="5" s="1"/>
  <c r="AA16" i="5"/>
  <c r="AB16" i="5" s="1"/>
  <c r="AA18" i="5"/>
  <c r="AB18" i="5" s="1"/>
  <c r="AA19" i="5"/>
  <c r="AB19" i="5" s="1"/>
  <c r="AA20" i="5"/>
  <c r="AB20" i="5" s="1"/>
  <c r="AA21" i="5"/>
  <c r="AB21" i="5" s="1"/>
  <c r="AA22" i="5"/>
  <c r="AB22" i="5" s="1"/>
  <c r="AA23" i="5"/>
  <c r="AB23" i="5" s="1"/>
  <c r="AA10" i="5"/>
  <c r="AB10" i="5" s="1"/>
  <c r="AA11" i="9"/>
  <c r="AB11" i="9" s="1"/>
  <c r="AA12" i="9"/>
  <c r="AB12" i="9" s="1"/>
  <c r="AA13" i="9"/>
  <c r="AB13" i="9" s="1"/>
  <c r="AA14" i="9"/>
  <c r="AB14" i="9" s="1"/>
  <c r="AA15" i="9"/>
  <c r="AB15" i="9" s="1"/>
  <c r="AA10" i="9"/>
  <c r="AB10" i="9" s="1"/>
  <c r="N25" i="1" l="1"/>
  <c r="M25" i="1"/>
  <c r="I17" i="1"/>
  <c r="I36" i="1"/>
  <c r="L31" i="1" s="1"/>
  <c r="N35" i="1"/>
  <c r="N34" i="1"/>
  <c r="N33" i="1"/>
  <c r="N32" i="1"/>
  <c r="N31" i="1"/>
  <c r="N30" i="1"/>
  <c r="M35" i="1"/>
  <c r="M34" i="1"/>
  <c r="M33" i="1"/>
  <c r="M32" i="1"/>
  <c r="M31" i="1"/>
  <c r="M30" i="1"/>
  <c r="AI23" i="11"/>
  <c r="AK23" i="11" s="1"/>
  <c r="AD23" i="11"/>
  <c r="AF23" i="11" s="1"/>
  <c r="K23" i="11"/>
  <c r="C23" i="11"/>
  <c r="D23" i="11" s="1"/>
  <c r="AI22" i="11"/>
  <c r="AK22" i="11" s="1"/>
  <c r="AD22" i="11"/>
  <c r="AF22" i="11" s="1"/>
  <c r="K22" i="11"/>
  <c r="C22" i="11"/>
  <c r="D22" i="11" s="1"/>
  <c r="AI21" i="11"/>
  <c r="AK21" i="11" s="1"/>
  <c r="AD21" i="11"/>
  <c r="AF21" i="11" s="1"/>
  <c r="K21" i="11"/>
  <c r="C21" i="11"/>
  <c r="D21" i="11" s="1"/>
  <c r="AI20" i="11"/>
  <c r="AK20" i="11" s="1"/>
  <c r="AD20" i="11"/>
  <c r="AF20" i="11" s="1"/>
  <c r="K20" i="11"/>
  <c r="C20" i="11"/>
  <c r="D20" i="11" s="1"/>
  <c r="AI19" i="11"/>
  <c r="AK19" i="11" s="1"/>
  <c r="AD19" i="11"/>
  <c r="AF19" i="11" s="1"/>
  <c r="K19" i="11"/>
  <c r="C19" i="11"/>
  <c r="D19" i="11" s="1"/>
  <c r="AI18" i="11"/>
  <c r="AK18" i="11" s="1"/>
  <c r="AD18" i="11"/>
  <c r="AF18" i="11" s="1"/>
  <c r="K18" i="11"/>
  <c r="C18" i="11"/>
  <c r="D18" i="11" s="1"/>
  <c r="AI16" i="11"/>
  <c r="AK16" i="11" s="1"/>
  <c r="AD16" i="11"/>
  <c r="AF16" i="11" s="1"/>
  <c r="K16" i="11"/>
  <c r="C16" i="11"/>
  <c r="D16" i="11" s="1"/>
  <c r="AI15" i="11"/>
  <c r="AK15" i="11" s="1"/>
  <c r="AD15" i="11"/>
  <c r="AF15" i="11" s="1"/>
  <c r="K15" i="11"/>
  <c r="C15" i="11"/>
  <c r="D15" i="11" s="1"/>
  <c r="AI14" i="11"/>
  <c r="AK14" i="11" s="1"/>
  <c r="AD14" i="11"/>
  <c r="AF14" i="11" s="1"/>
  <c r="K14" i="11"/>
  <c r="C14" i="11"/>
  <c r="D14" i="11" s="1"/>
  <c r="AI13" i="11"/>
  <c r="AK13" i="11" s="1"/>
  <c r="AD13" i="11"/>
  <c r="AF13" i="11" s="1"/>
  <c r="K13" i="11"/>
  <c r="C13" i="11"/>
  <c r="D13" i="11" s="1"/>
  <c r="AI12" i="11"/>
  <c r="AK12" i="11" s="1"/>
  <c r="AD12" i="11"/>
  <c r="AF12" i="11" s="1"/>
  <c r="K12" i="11"/>
  <c r="C12" i="11"/>
  <c r="D12" i="11" s="1"/>
  <c r="AI11" i="11"/>
  <c r="AK11" i="11" s="1"/>
  <c r="AD11" i="11"/>
  <c r="AF11" i="11" s="1"/>
  <c r="K11" i="11"/>
  <c r="C11" i="11"/>
  <c r="D11" i="11" s="1"/>
  <c r="AI10" i="11"/>
  <c r="AK10" i="11" s="1"/>
  <c r="AD10" i="11"/>
  <c r="AF10" i="11" s="1"/>
  <c r="K10" i="11"/>
  <c r="C10" i="11"/>
  <c r="D10" i="11" s="1"/>
  <c r="AI13" i="10"/>
  <c r="AK13" i="10" s="1"/>
  <c r="AD13" i="10"/>
  <c r="AF13" i="10" s="1"/>
  <c r="K13" i="10"/>
  <c r="AI12" i="10"/>
  <c r="AK12" i="10" s="1"/>
  <c r="AD12" i="10"/>
  <c r="AF12" i="10" s="1"/>
  <c r="K12" i="10"/>
  <c r="AI11" i="10"/>
  <c r="AK11" i="10" s="1"/>
  <c r="AD11" i="10"/>
  <c r="AF11" i="10" s="1"/>
  <c r="K11" i="10"/>
  <c r="AI10" i="10"/>
  <c r="AK10" i="10" s="1"/>
  <c r="AD10" i="10"/>
  <c r="AF10" i="10" s="1"/>
  <c r="K10" i="10"/>
  <c r="N29" i="1"/>
  <c r="N28" i="1"/>
  <c r="N27" i="1"/>
  <c r="N26" i="1"/>
  <c r="M29" i="1"/>
  <c r="M28" i="1"/>
  <c r="M27" i="1"/>
  <c r="M26" i="1"/>
  <c r="AI15" i="9"/>
  <c r="AK15" i="9" s="1"/>
  <c r="AD15" i="9"/>
  <c r="AF15" i="9" s="1"/>
  <c r="K15" i="9"/>
  <c r="C15" i="9"/>
  <c r="D15" i="9" s="1"/>
  <c r="AI14" i="9"/>
  <c r="AK14" i="9" s="1"/>
  <c r="AD14" i="9"/>
  <c r="AF14" i="9" s="1"/>
  <c r="K14" i="9"/>
  <c r="C14" i="9"/>
  <c r="D14" i="9" s="1"/>
  <c r="AI13" i="9"/>
  <c r="AK13" i="9" s="1"/>
  <c r="AD13" i="9"/>
  <c r="AF13" i="9" s="1"/>
  <c r="K13" i="9"/>
  <c r="C13" i="9"/>
  <c r="D13" i="9" s="1"/>
  <c r="AI12" i="9"/>
  <c r="AK12" i="9" s="1"/>
  <c r="AD12" i="9"/>
  <c r="AF12" i="9" s="1"/>
  <c r="K12" i="9"/>
  <c r="C12" i="9"/>
  <c r="D12" i="9" s="1"/>
  <c r="AI11" i="9"/>
  <c r="AK11" i="9" s="1"/>
  <c r="AD11" i="9"/>
  <c r="AF11" i="9" s="1"/>
  <c r="K11" i="9"/>
  <c r="C11" i="9"/>
  <c r="D11" i="9" s="1"/>
  <c r="AI10" i="9"/>
  <c r="AK10" i="9" s="1"/>
  <c r="AD10" i="9"/>
  <c r="AF10" i="9" s="1"/>
  <c r="K10" i="9"/>
  <c r="C10" i="9"/>
  <c r="D10" i="9" s="1"/>
  <c r="J25" i="1"/>
  <c r="H36" i="1"/>
  <c r="K35" i="1" s="1"/>
  <c r="J35" i="1"/>
  <c r="C35" i="1"/>
  <c r="J34" i="1"/>
  <c r="C34" i="1"/>
  <c r="J33" i="1"/>
  <c r="C33" i="1"/>
  <c r="J32" i="1"/>
  <c r="C32" i="1"/>
  <c r="J31" i="1"/>
  <c r="C31" i="1"/>
  <c r="J30" i="1"/>
  <c r="C30" i="1"/>
  <c r="J29" i="1"/>
  <c r="C29" i="1"/>
  <c r="J28" i="1"/>
  <c r="C28" i="1"/>
  <c r="J27" i="1"/>
  <c r="C27" i="1"/>
  <c r="J26" i="1"/>
  <c r="C26" i="1"/>
  <c r="L28" i="1" l="1"/>
  <c r="L29" i="1"/>
  <c r="L25" i="1"/>
  <c r="L11" i="9"/>
  <c r="L32" i="1"/>
  <c r="L33" i="1"/>
  <c r="L34" i="1"/>
  <c r="L26" i="1"/>
  <c r="L30" i="1"/>
  <c r="J36" i="1"/>
  <c r="K28" i="1"/>
  <c r="K29" i="1"/>
  <c r="K30" i="1"/>
  <c r="L27" i="1"/>
  <c r="L35" i="1"/>
  <c r="K31" i="1"/>
  <c r="K32" i="1"/>
  <c r="K25" i="1"/>
  <c r="K33" i="1"/>
  <c r="K26" i="1"/>
  <c r="K34" i="1"/>
  <c r="K27" i="1"/>
  <c r="L19" i="11"/>
  <c r="L14" i="11"/>
  <c r="L12" i="11"/>
  <c r="L10" i="11"/>
  <c r="L13" i="11"/>
  <c r="L15" i="11"/>
  <c r="L18" i="11"/>
  <c r="L20" i="11"/>
  <c r="L22" i="11"/>
  <c r="L11" i="11"/>
  <c r="L21" i="11"/>
  <c r="L16" i="11"/>
  <c r="L23" i="11"/>
  <c r="L13" i="9"/>
  <c r="L14" i="9"/>
  <c r="L12" i="9"/>
  <c r="L10" i="9"/>
  <c r="L15" i="9"/>
  <c r="K21" i="5"/>
  <c r="AD21" i="5"/>
  <c r="AF21" i="5" s="1"/>
  <c r="AI21" i="5"/>
  <c r="AK21" i="5" s="1"/>
  <c r="K22" i="5"/>
  <c r="AD22" i="5"/>
  <c r="AF22" i="5" s="1"/>
  <c r="AI22" i="5"/>
  <c r="AK22" i="5" s="1"/>
  <c r="K23" i="5"/>
  <c r="AD23" i="5"/>
  <c r="AF23" i="5" s="1"/>
  <c r="AI23" i="5"/>
  <c r="AK23" i="5" s="1"/>
  <c r="U30" i="2"/>
  <c r="AO13" i="15" l="1"/>
  <c r="AP13" i="15" s="1"/>
  <c r="AO12" i="15"/>
  <c r="AP12" i="15" s="1"/>
  <c r="AO10" i="15"/>
  <c r="AP10" i="15" s="1"/>
  <c r="AO14" i="15"/>
  <c r="AP14" i="15" s="1"/>
  <c r="AO15" i="15"/>
  <c r="AP15" i="15" s="1"/>
  <c r="AO11" i="15"/>
  <c r="AP11" i="15" s="1"/>
  <c r="AI20" i="5" l="1"/>
  <c r="AK20" i="5" s="1"/>
  <c r="AD20" i="5"/>
  <c r="AF20" i="5" s="1"/>
  <c r="K20" i="5"/>
  <c r="AI19" i="5"/>
  <c r="AK19" i="5" s="1"/>
  <c r="AD19" i="5"/>
  <c r="AF19" i="5" s="1"/>
  <c r="K19" i="5"/>
  <c r="AI18" i="5"/>
  <c r="AK18" i="5" s="1"/>
  <c r="AD18" i="5"/>
  <c r="AF18" i="5" s="1"/>
  <c r="K18" i="5"/>
  <c r="AI16" i="5"/>
  <c r="AK16" i="5" s="1"/>
  <c r="AD16" i="5"/>
  <c r="AF16" i="5" s="1"/>
  <c r="K16" i="5"/>
  <c r="AI15" i="5"/>
  <c r="AK15" i="5" s="1"/>
  <c r="AD15" i="5"/>
  <c r="AF15" i="5" s="1"/>
  <c r="K15" i="5"/>
  <c r="AI14" i="5"/>
  <c r="AK14" i="5" s="1"/>
  <c r="AD14" i="5"/>
  <c r="AF14" i="5" s="1"/>
  <c r="K14" i="5"/>
  <c r="AI13" i="5"/>
  <c r="AK13" i="5" s="1"/>
  <c r="AD13" i="5"/>
  <c r="AF13" i="5" s="1"/>
  <c r="K13" i="5"/>
  <c r="AI12" i="5"/>
  <c r="AK12" i="5" s="1"/>
  <c r="AD12" i="5"/>
  <c r="AF12" i="5" s="1"/>
  <c r="K12" i="5"/>
  <c r="AI11" i="5"/>
  <c r="AK11" i="5" s="1"/>
  <c r="AD11" i="5"/>
  <c r="AF11" i="5" s="1"/>
  <c r="K11" i="5"/>
  <c r="AI10" i="5"/>
  <c r="AK10" i="5" s="1"/>
  <c r="AD10" i="5"/>
  <c r="AF10" i="5" s="1"/>
  <c r="K10" i="5"/>
  <c r="C18" i="2" l="1"/>
  <c r="C19" i="2"/>
  <c r="C20" i="2"/>
  <c r="C21" i="2"/>
  <c r="C17" i="2"/>
  <c r="C15" i="2"/>
  <c r="C13" i="2"/>
  <c r="C14" i="2"/>
  <c r="C12" i="2"/>
  <c r="E17" i="11" l="1"/>
  <c r="E17" i="5"/>
  <c r="E13" i="12"/>
  <c r="E11" i="12"/>
  <c r="E12" i="10"/>
  <c r="E11" i="10"/>
  <c r="E10" i="10"/>
  <c r="E13" i="10"/>
  <c r="E12" i="12"/>
  <c r="E10" i="12"/>
  <c r="E12" i="11"/>
  <c r="E15" i="11"/>
  <c r="E22" i="11"/>
  <c r="E21" i="11"/>
  <c r="E20" i="11"/>
  <c r="E19" i="11"/>
  <c r="E18" i="11"/>
  <c r="E16" i="11"/>
  <c r="E14" i="11"/>
  <c r="E23" i="11"/>
  <c r="E13" i="11"/>
  <c r="E11" i="11"/>
  <c r="E10" i="11"/>
  <c r="E22" i="5"/>
  <c r="E23" i="5"/>
  <c r="E21" i="5"/>
  <c r="E15" i="5"/>
  <c r="E16" i="5"/>
  <c r="E18" i="5"/>
  <c r="E19" i="5"/>
  <c r="E11" i="5"/>
  <c r="E20" i="5"/>
  <c r="E12" i="5"/>
  <c r="E10" i="5"/>
  <c r="E13" i="5"/>
  <c r="E14" i="5"/>
  <c r="E13" i="9"/>
  <c r="E10" i="9"/>
  <c r="E14" i="9"/>
  <c r="E15" i="9"/>
  <c r="E11" i="9"/>
  <c r="E12" i="9"/>
  <c r="K6" i="3"/>
  <c r="J6" i="3"/>
  <c r="I36" i="2"/>
  <c r="H36" i="2"/>
  <c r="I29" i="2"/>
  <c r="H29" i="2"/>
  <c r="H42" i="3"/>
  <c r="H30" i="3"/>
  <c r="K23" i="3"/>
  <c r="L23" i="3" s="1"/>
  <c r="K22" i="3"/>
  <c r="L22" i="3" s="1"/>
  <c r="K21" i="3"/>
  <c r="L21" i="3" s="1"/>
  <c r="K20" i="3"/>
  <c r="L20" i="3" s="1"/>
  <c r="K19" i="3"/>
  <c r="L19" i="3" s="1"/>
  <c r="L16" i="1"/>
  <c r="L15" i="1"/>
  <c r="L14" i="1"/>
  <c r="L13" i="1"/>
  <c r="L12" i="1"/>
  <c r="L11" i="1"/>
  <c r="L10" i="1"/>
  <c r="L9" i="1"/>
  <c r="L8" i="1"/>
  <c r="L7" i="1"/>
  <c r="L6" i="1"/>
  <c r="J16" i="1"/>
  <c r="J15" i="1"/>
  <c r="J14" i="1"/>
  <c r="J13" i="1"/>
  <c r="J12" i="1"/>
  <c r="J11" i="1"/>
  <c r="J10" i="1"/>
  <c r="J9" i="1"/>
  <c r="J8" i="1"/>
  <c r="J7" i="1"/>
  <c r="J6" i="1"/>
  <c r="K14" i="3"/>
  <c r="L14" i="3" s="1"/>
  <c r="K15" i="3"/>
  <c r="L15" i="3" s="1"/>
  <c r="K16" i="3"/>
  <c r="L16" i="3" s="1"/>
  <c r="K17" i="3"/>
  <c r="L17" i="3" s="1"/>
  <c r="K18" i="3"/>
  <c r="L18" i="3" s="1"/>
  <c r="K13" i="3"/>
  <c r="L13" i="3" s="1"/>
  <c r="K17" i="1"/>
  <c r="H17" i="1"/>
  <c r="M13" i="1" s="1"/>
  <c r="C16" i="1"/>
  <c r="C15" i="1"/>
  <c r="C14" i="1"/>
  <c r="C13" i="1"/>
  <c r="C12" i="1"/>
  <c r="C11" i="1"/>
  <c r="C10" i="1"/>
  <c r="C9" i="1"/>
  <c r="C8" i="1"/>
  <c r="C7" i="1"/>
  <c r="F17" i="11" l="1"/>
  <c r="H17" i="11" s="1"/>
  <c r="F17" i="5"/>
  <c r="H17" i="5" s="1"/>
  <c r="G17" i="11"/>
  <c r="I17" i="11" s="1"/>
  <c r="G17" i="5"/>
  <c r="I17" i="5" s="1"/>
  <c r="N10" i="15"/>
  <c r="P10" i="15" s="1"/>
  <c r="R10" i="15" s="1"/>
  <c r="N14" i="15"/>
  <c r="P14" i="15" s="1"/>
  <c r="R14" i="15" s="1"/>
  <c r="N13" i="15"/>
  <c r="P13" i="15" s="1"/>
  <c r="R13" i="15" s="1"/>
  <c r="N12" i="15"/>
  <c r="P12" i="15" s="1"/>
  <c r="R12" i="15" s="1"/>
  <c r="AC17" i="11"/>
  <c r="AE17" i="11" s="1"/>
  <c r="AG17" i="11" s="1"/>
  <c r="AX17" i="11" s="1"/>
  <c r="N11" i="15"/>
  <c r="P11" i="15" s="1"/>
  <c r="R11" i="15" s="1"/>
  <c r="N15" i="15"/>
  <c r="P15" i="15" s="1"/>
  <c r="R15" i="15" s="1"/>
  <c r="AC17" i="5"/>
  <c r="AE17" i="5" s="1"/>
  <c r="AG17" i="5" s="1"/>
  <c r="AX17" i="5" s="1"/>
  <c r="G15" i="15"/>
  <c r="I15" i="15" s="1"/>
  <c r="G12" i="15"/>
  <c r="I12" i="15" s="1"/>
  <c r="V17" i="5"/>
  <c r="X17" i="5" s="1"/>
  <c r="G10" i="15"/>
  <c r="I10" i="15" s="1"/>
  <c r="G13" i="15"/>
  <c r="I13" i="15" s="1"/>
  <c r="G11" i="15"/>
  <c r="I11" i="15" s="1"/>
  <c r="G14" i="15"/>
  <c r="I14" i="15" s="1"/>
  <c r="V17" i="11"/>
  <c r="X17" i="11" s="1"/>
  <c r="S14" i="15"/>
  <c r="U14" i="15" s="1"/>
  <c r="W14" i="15" s="1"/>
  <c r="AH17" i="5"/>
  <c r="AJ17" i="5" s="1"/>
  <c r="AL17" i="5" s="1"/>
  <c r="S11" i="15"/>
  <c r="U11" i="15" s="1"/>
  <c r="W11" i="15" s="1"/>
  <c r="S10" i="15"/>
  <c r="U10" i="15" s="1"/>
  <c r="W10" i="15" s="1"/>
  <c r="S15" i="15"/>
  <c r="U15" i="15" s="1"/>
  <c r="W15" i="15" s="1"/>
  <c r="S13" i="15"/>
  <c r="U13" i="15" s="1"/>
  <c r="W13" i="15" s="1"/>
  <c r="S12" i="15"/>
  <c r="U12" i="15" s="1"/>
  <c r="W12" i="15" s="1"/>
  <c r="AH17" i="11"/>
  <c r="AJ17" i="11" s="1"/>
  <c r="AL17" i="11" s="1"/>
  <c r="AH15" i="15"/>
  <c r="AJ15" i="15" s="1"/>
  <c r="AH11" i="15"/>
  <c r="AJ11" i="15" s="1"/>
  <c r="AH12" i="15"/>
  <c r="AJ12" i="15" s="1"/>
  <c r="AH13" i="15"/>
  <c r="AJ13" i="15" s="1"/>
  <c r="AH10" i="15"/>
  <c r="AJ10" i="15" s="1"/>
  <c r="AH14" i="15"/>
  <c r="AJ14" i="15" s="1"/>
  <c r="N17" i="5"/>
  <c r="P17" i="5" s="1"/>
  <c r="M17" i="5"/>
  <c r="O17" i="5" s="1"/>
  <c r="Q17" i="5" s="1"/>
  <c r="N17" i="11"/>
  <c r="P17" i="11" s="1"/>
  <c r="M17" i="11"/>
  <c r="O17" i="11" s="1"/>
  <c r="Q17" i="11" s="1"/>
  <c r="G12" i="12"/>
  <c r="I12" i="12" s="1"/>
  <c r="G10" i="12"/>
  <c r="I10" i="12" s="1"/>
  <c r="G13" i="12"/>
  <c r="I13" i="12" s="1"/>
  <c r="G11" i="12"/>
  <c r="I11" i="12" s="1"/>
  <c r="N10" i="11"/>
  <c r="P10" i="11" s="1"/>
  <c r="M10" i="11"/>
  <c r="O10" i="11" s="1"/>
  <c r="K10" i="12"/>
  <c r="L10" i="12" s="1"/>
  <c r="N10" i="12" s="1"/>
  <c r="N13" i="9"/>
  <c r="P13" i="9" s="1"/>
  <c r="M13" i="9"/>
  <c r="O13" i="9" s="1"/>
  <c r="N19" i="5"/>
  <c r="P19" i="5" s="1"/>
  <c r="M19" i="5"/>
  <c r="M11" i="11"/>
  <c r="O11" i="11" s="1"/>
  <c r="N11" i="11"/>
  <c r="P11" i="11" s="1"/>
  <c r="M21" i="11"/>
  <c r="O21" i="11" s="1"/>
  <c r="N21" i="11"/>
  <c r="P21" i="11" s="1"/>
  <c r="K12" i="12"/>
  <c r="L12" i="12" s="1"/>
  <c r="N12" i="12" s="1"/>
  <c r="M17" i="1"/>
  <c r="M6" i="1"/>
  <c r="M10" i="1"/>
  <c r="M14" i="1"/>
  <c r="M11" i="5"/>
  <c r="N11" i="5"/>
  <c r="P11" i="5" s="1"/>
  <c r="N20" i="11"/>
  <c r="P20" i="11" s="1"/>
  <c r="M20" i="11"/>
  <c r="O20" i="11" s="1"/>
  <c r="M7" i="1"/>
  <c r="M11" i="1"/>
  <c r="M15" i="1"/>
  <c r="M11" i="9"/>
  <c r="O11" i="9" s="1"/>
  <c r="N11" i="9"/>
  <c r="P11" i="9" s="1"/>
  <c r="N18" i="5"/>
  <c r="P18" i="5" s="1"/>
  <c r="M18" i="5"/>
  <c r="M13" i="11"/>
  <c r="O13" i="11" s="1"/>
  <c r="N13" i="11"/>
  <c r="P13" i="11" s="1"/>
  <c r="N22" i="11"/>
  <c r="P22" i="11" s="1"/>
  <c r="M22" i="11"/>
  <c r="O22" i="11" s="1"/>
  <c r="M13" i="10"/>
  <c r="O13" i="10" s="1"/>
  <c r="N13" i="10"/>
  <c r="P13" i="10" s="1"/>
  <c r="M15" i="9"/>
  <c r="O15" i="9" s="1"/>
  <c r="N15" i="9"/>
  <c r="P15" i="9" s="1"/>
  <c r="M14" i="5"/>
  <c r="N14" i="5"/>
  <c r="P14" i="5" s="1"/>
  <c r="N16" i="5"/>
  <c r="P16" i="5" s="1"/>
  <c r="M16" i="5"/>
  <c r="M23" i="11"/>
  <c r="O23" i="11" s="1"/>
  <c r="N23" i="11"/>
  <c r="P23" i="11" s="1"/>
  <c r="M15" i="11"/>
  <c r="O15" i="11" s="1"/>
  <c r="N15" i="11"/>
  <c r="P15" i="11" s="1"/>
  <c r="N10" i="10"/>
  <c r="P10" i="10" s="1"/>
  <c r="M10" i="10"/>
  <c r="O10" i="10" s="1"/>
  <c r="C10" i="10"/>
  <c r="D10" i="10" s="1"/>
  <c r="C12" i="10"/>
  <c r="D12" i="10" s="1"/>
  <c r="C13" i="12"/>
  <c r="D13" i="12" s="1"/>
  <c r="C11" i="12"/>
  <c r="D11" i="12" s="1"/>
  <c r="C11" i="10"/>
  <c r="D11" i="10" s="1"/>
  <c r="C12" i="12"/>
  <c r="D12" i="12" s="1"/>
  <c r="C10" i="12"/>
  <c r="D10" i="12" s="1"/>
  <c r="C13" i="10"/>
  <c r="D13" i="10" s="1"/>
  <c r="M8" i="1"/>
  <c r="M12" i="1"/>
  <c r="M16" i="1"/>
  <c r="F14" i="9"/>
  <c r="H14" i="9" s="1"/>
  <c r="F15" i="11"/>
  <c r="H15" i="11" s="1"/>
  <c r="F12" i="11"/>
  <c r="H12" i="11" s="1"/>
  <c r="F13" i="10"/>
  <c r="F13" i="11"/>
  <c r="H13" i="11" s="1"/>
  <c r="F10" i="11"/>
  <c r="H10" i="11" s="1"/>
  <c r="F15" i="9"/>
  <c r="H15" i="9" s="1"/>
  <c r="F14" i="11"/>
  <c r="H14" i="11" s="1"/>
  <c r="F10" i="9"/>
  <c r="H10" i="9" s="1"/>
  <c r="F12" i="9"/>
  <c r="H12" i="9" s="1"/>
  <c r="F22" i="11"/>
  <c r="H22" i="11" s="1"/>
  <c r="F21" i="11"/>
  <c r="H21" i="11" s="1"/>
  <c r="F20" i="11"/>
  <c r="H20" i="11" s="1"/>
  <c r="F19" i="11"/>
  <c r="H19" i="11" s="1"/>
  <c r="F18" i="11"/>
  <c r="H18" i="11" s="1"/>
  <c r="F16" i="11"/>
  <c r="H16" i="11" s="1"/>
  <c r="F11" i="10"/>
  <c r="F10" i="10"/>
  <c r="F11" i="11"/>
  <c r="H11" i="11" s="1"/>
  <c r="F11" i="9"/>
  <c r="H11" i="9" s="1"/>
  <c r="F23" i="11"/>
  <c r="H23" i="11" s="1"/>
  <c r="F12" i="10"/>
  <c r="F13" i="9"/>
  <c r="H13" i="9" s="1"/>
  <c r="F23" i="5"/>
  <c r="F22" i="5"/>
  <c r="F21" i="5"/>
  <c r="F19" i="5"/>
  <c r="F10" i="5"/>
  <c r="F13" i="5"/>
  <c r="F16" i="5"/>
  <c r="F20" i="5"/>
  <c r="F11" i="5"/>
  <c r="F14" i="5"/>
  <c r="F18" i="5"/>
  <c r="F15" i="5"/>
  <c r="F12" i="5"/>
  <c r="N13" i="5"/>
  <c r="P13" i="5" s="1"/>
  <c r="M13" i="5"/>
  <c r="M15" i="5"/>
  <c r="N15" i="5"/>
  <c r="P15" i="5" s="1"/>
  <c r="N14" i="11"/>
  <c r="P14" i="11" s="1"/>
  <c r="M14" i="11"/>
  <c r="O14" i="11" s="1"/>
  <c r="N12" i="11"/>
  <c r="P12" i="11" s="1"/>
  <c r="M12" i="11"/>
  <c r="O12" i="11" s="1"/>
  <c r="M11" i="10"/>
  <c r="O11" i="10" s="1"/>
  <c r="N11" i="10"/>
  <c r="P11" i="10" s="1"/>
  <c r="M10" i="5"/>
  <c r="N10" i="5"/>
  <c r="P10" i="5" s="1"/>
  <c r="M21" i="5"/>
  <c r="N21" i="5"/>
  <c r="P21" i="5" s="1"/>
  <c r="M16" i="11"/>
  <c r="O16" i="11" s="1"/>
  <c r="N16" i="11"/>
  <c r="P16" i="11" s="1"/>
  <c r="M12" i="10"/>
  <c r="O12" i="10" s="1"/>
  <c r="N12" i="10"/>
  <c r="P12" i="10" s="1"/>
  <c r="G15" i="9"/>
  <c r="I15" i="9" s="1"/>
  <c r="G22" i="11"/>
  <c r="I22" i="11" s="1"/>
  <c r="G21" i="11"/>
  <c r="I21" i="11" s="1"/>
  <c r="G20" i="11"/>
  <c r="I20" i="11" s="1"/>
  <c r="G19" i="11"/>
  <c r="I19" i="11" s="1"/>
  <c r="G18" i="11"/>
  <c r="I18" i="11" s="1"/>
  <c r="G16" i="11"/>
  <c r="I16" i="11" s="1"/>
  <c r="G11" i="10"/>
  <c r="I11" i="10" s="1"/>
  <c r="G10" i="10"/>
  <c r="I10" i="10" s="1"/>
  <c r="G10" i="9"/>
  <c r="I10" i="9" s="1"/>
  <c r="G11" i="11"/>
  <c r="I11" i="11" s="1"/>
  <c r="G10" i="11"/>
  <c r="I10" i="11" s="1"/>
  <c r="G11" i="9"/>
  <c r="I11" i="9" s="1"/>
  <c r="G23" i="11"/>
  <c r="I23" i="11" s="1"/>
  <c r="G12" i="10"/>
  <c r="I12" i="10" s="1"/>
  <c r="G15" i="11"/>
  <c r="I15" i="11" s="1"/>
  <c r="G14" i="11"/>
  <c r="I14" i="11" s="1"/>
  <c r="G12" i="11"/>
  <c r="I12" i="11" s="1"/>
  <c r="G13" i="10"/>
  <c r="I13" i="10" s="1"/>
  <c r="G13" i="11"/>
  <c r="I13" i="11" s="1"/>
  <c r="G12" i="9"/>
  <c r="I12" i="9" s="1"/>
  <c r="G13" i="9"/>
  <c r="I13" i="9" s="1"/>
  <c r="G14" i="9"/>
  <c r="I14" i="9" s="1"/>
  <c r="G23" i="5"/>
  <c r="I23" i="5" s="1"/>
  <c r="G22" i="5"/>
  <c r="I22" i="5" s="1"/>
  <c r="G21" i="5"/>
  <c r="I21" i="5" s="1"/>
  <c r="G13" i="5"/>
  <c r="I13" i="5" s="1"/>
  <c r="G16" i="5"/>
  <c r="I16" i="5" s="1"/>
  <c r="G20" i="5"/>
  <c r="I20" i="5" s="1"/>
  <c r="G11" i="5"/>
  <c r="I11" i="5" s="1"/>
  <c r="G14" i="5"/>
  <c r="I14" i="5" s="1"/>
  <c r="G18" i="5"/>
  <c r="I18" i="5" s="1"/>
  <c r="G12" i="5"/>
  <c r="I12" i="5" s="1"/>
  <c r="G19" i="5"/>
  <c r="I19" i="5" s="1"/>
  <c r="G15" i="5"/>
  <c r="I15" i="5" s="1"/>
  <c r="G10" i="5"/>
  <c r="I10" i="5" s="1"/>
  <c r="M9" i="1"/>
  <c r="F13" i="12"/>
  <c r="F11" i="12"/>
  <c r="F12" i="12"/>
  <c r="F10" i="12"/>
  <c r="N14" i="9"/>
  <c r="P14" i="9" s="1"/>
  <c r="M14" i="9"/>
  <c r="O14" i="9" s="1"/>
  <c r="M12" i="5"/>
  <c r="N12" i="5"/>
  <c r="P12" i="5" s="1"/>
  <c r="M23" i="5"/>
  <c r="N23" i="5"/>
  <c r="P23" i="5" s="1"/>
  <c r="N18" i="11"/>
  <c r="P18" i="11" s="1"/>
  <c r="M18" i="11"/>
  <c r="O18" i="11" s="1"/>
  <c r="K11" i="12"/>
  <c r="M11" i="12" s="1"/>
  <c r="O11" i="12" s="1"/>
  <c r="N12" i="9"/>
  <c r="P12" i="9" s="1"/>
  <c r="M12" i="9"/>
  <c r="O12" i="9" s="1"/>
  <c r="M10" i="9"/>
  <c r="O10" i="9" s="1"/>
  <c r="N10" i="9"/>
  <c r="P10" i="9" s="1"/>
  <c r="N20" i="5"/>
  <c r="P20" i="5" s="1"/>
  <c r="M20" i="5"/>
  <c r="M22" i="5"/>
  <c r="N22" i="5"/>
  <c r="P22" i="5" s="1"/>
  <c r="M19" i="11"/>
  <c r="O19" i="11" s="1"/>
  <c r="N19" i="11"/>
  <c r="P19" i="11" s="1"/>
  <c r="K13" i="12"/>
  <c r="M13" i="12" s="1"/>
  <c r="O13" i="12" s="1"/>
  <c r="AC20" i="11"/>
  <c r="AE20" i="11" s="1"/>
  <c r="AG20" i="11" s="1"/>
  <c r="AX20" i="11" s="1"/>
  <c r="AC15" i="11"/>
  <c r="AE15" i="11" s="1"/>
  <c r="AG15" i="11" s="1"/>
  <c r="AX15" i="11" s="1"/>
  <c r="AC13" i="11"/>
  <c r="AE13" i="11" s="1"/>
  <c r="AG13" i="11" s="1"/>
  <c r="AX13" i="11" s="1"/>
  <c r="AC10" i="11"/>
  <c r="AE10" i="11" s="1"/>
  <c r="AG10" i="11" s="1"/>
  <c r="AX10" i="11" s="1"/>
  <c r="AC19" i="11"/>
  <c r="AE19" i="11" s="1"/>
  <c r="AG19" i="11" s="1"/>
  <c r="AX19" i="11" s="1"/>
  <c r="AC13" i="10"/>
  <c r="AC12" i="10"/>
  <c r="AC11" i="10"/>
  <c r="AC10" i="10"/>
  <c r="AC12" i="11"/>
  <c r="AE12" i="11" s="1"/>
  <c r="AG12" i="11" s="1"/>
  <c r="AX12" i="11" s="1"/>
  <c r="AC11" i="11"/>
  <c r="AE11" i="11" s="1"/>
  <c r="AG11" i="11" s="1"/>
  <c r="AX11" i="11" s="1"/>
  <c r="AC15" i="9"/>
  <c r="AE15" i="9" s="1"/>
  <c r="AG15" i="9" s="1"/>
  <c r="AX15" i="9" s="1"/>
  <c r="AC11" i="9"/>
  <c r="AE11" i="9" s="1"/>
  <c r="AG11" i="9" s="1"/>
  <c r="AX11" i="9" s="1"/>
  <c r="AC23" i="11"/>
  <c r="AE23" i="11" s="1"/>
  <c r="AG23" i="11" s="1"/>
  <c r="AX23" i="11" s="1"/>
  <c r="AC21" i="11"/>
  <c r="AE21" i="11" s="1"/>
  <c r="AG21" i="11" s="1"/>
  <c r="AX21" i="11" s="1"/>
  <c r="AC13" i="9"/>
  <c r="AE13" i="9" s="1"/>
  <c r="AG13" i="9" s="1"/>
  <c r="AX13" i="9" s="1"/>
  <c r="AC16" i="11"/>
  <c r="AE16" i="11" s="1"/>
  <c r="AG16" i="11" s="1"/>
  <c r="AX16" i="11" s="1"/>
  <c r="AC14" i="11"/>
  <c r="AE14" i="11" s="1"/>
  <c r="AG14" i="11" s="1"/>
  <c r="AX14" i="11" s="1"/>
  <c r="AC12" i="9"/>
  <c r="AE12" i="9" s="1"/>
  <c r="AG12" i="9" s="1"/>
  <c r="AX12" i="9" s="1"/>
  <c r="AC14" i="9"/>
  <c r="AE14" i="9" s="1"/>
  <c r="AG14" i="9" s="1"/>
  <c r="AX14" i="9" s="1"/>
  <c r="AC10" i="9"/>
  <c r="AE10" i="9" s="1"/>
  <c r="AG10" i="9" s="1"/>
  <c r="AX10" i="9" s="1"/>
  <c r="AC22" i="11"/>
  <c r="AE22" i="11" s="1"/>
  <c r="AG22" i="11" s="1"/>
  <c r="AX22" i="11" s="1"/>
  <c r="AC18" i="11"/>
  <c r="AE18" i="11" s="1"/>
  <c r="AG18" i="11" s="1"/>
  <c r="AX18" i="11" s="1"/>
  <c r="AC21" i="5"/>
  <c r="AC23" i="5"/>
  <c r="AC22" i="5"/>
  <c r="AC20" i="5"/>
  <c r="AC19" i="5"/>
  <c r="AC18" i="5"/>
  <c r="AC16" i="5"/>
  <c r="AC15" i="5"/>
  <c r="AC14" i="5"/>
  <c r="AC13" i="5"/>
  <c r="AC12" i="5"/>
  <c r="AC11" i="5"/>
  <c r="AC10" i="5"/>
  <c r="AH12" i="11"/>
  <c r="AJ12" i="11" s="1"/>
  <c r="AL12" i="11" s="1"/>
  <c r="AH11" i="11"/>
  <c r="AJ11" i="11" s="1"/>
  <c r="AL11" i="11" s="1"/>
  <c r="AH15" i="9"/>
  <c r="AJ15" i="9" s="1"/>
  <c r="AL15" i="9" s="1"/>
  <c r="AH14" i="9"/>
  <c r="AJ14" i="9" s="1"/>
  <c r="AL14" i="9" s="1"/>
  <c r="AH13" i="9"/>
  <c r="AJ13" i="9" s="1"/>
  <c r="AL13" i="9" s="1"/>
  <c r="AH12" i="9"/>
  <c r="AJ12" i="9" s="1"/>
  <c r="AL12" i="9" s="1"/>
  <c r="AH11" i="9"/>
  <c r="AJ11" i="9" s="1"/>
  <c r="AL11" i="9" s="1"/>
  <c r="AH10" i="9"/>
  <c r="AJ10" i="9" s="1"/>
  <c r="AL10" i="9" s="1"/>
  <c r="AH23" i="11"/>
  <c r="AJ23" i="11" s="1"/>
  <c r="AL23" i="11" s="1"/>
  <c r="AH22" i="11"/>
  <c r="AJ22" i="11" s="1"/>
  <c r="AL22" i="11" s="1"/>
  <c r="AH21" i="11"/>
  <c r="AJ21" i="11" s="1"/>
  <c r="AL21" i="11" s="1"/>
  <c r="AH18" i="11"/>
  <c r="AJ18" i="11" s="1"/>
  <c r="AL18" i="11" s="1"/>
  <c r="AH16" i="11"/>
  <c r="AJ16" i="11" s="1"/>
  <c r="AL16" i="11" s="1"/>
  <c r="AH14" i="11"/>
  <c r="AJ14" i="11" s="1"/>
  <c r="AL14" i="11" s="1"/>
  <c r="AH20" i="11"/>
  <c r="AJ20" i="11" s="1"/>
  <c r="AL20" i="11" s="1"/>
  <c r="AH10" i="11"/>
  <c r="AJ10" i="11" s="1"/>
  <c r="AL10" i="11" s="1"/>
  <c r="AH15" i="11"/>
  <c r="AJ15" i="11" s="1"/>
  <c r="AL15" i="11" s="1"/>
  <c r="AH13" i="11"/>
  <c r="AJ13" i="11" s="1"/>
  <c r="AL13" i="11" s="1"/>
  <c r="AH13" i="10"/>
  <c r="AJ13" i="10" s="1"/>
  <c r="AL13" i="10" s="1"/>
  <c r="AH10" i="10"/>
  <c r="AH19" i="11"/>
  <c r="AJ19" i="11" s="1"/>
  <c r="AL19" i="11" s="1"/>
  <c r="AH12" i="10"/>
  <c r="AJ12" i="10" s="1"/>
  <c r="AL12" i="10" s="1"/>
  <c r="AH11" i="10"/>
  <c r="AH21" i="5"/>
  <c r="AH22" i="5"/>
  <c r="AH23" i="5"/>
  <c r="AH20" i="5"/>
  <c r="AH19" i="5"/>
  <c r="AH18" i="5"/>
  <c r="AH16" i="5"/>
  <c r="AH15" i="5"/>
  <c r="AH14" i="5"/>
  <c r="AH13" i="5"/>
  <c r="AH12" i="5"/>
  <c r="AH11" i="5"/>
  <c r="AH10" i="5"/>
  <c r="V12" i="11"/>
  <c r="X12" i="11" s="1"/>
  <c r="V11" i="11"/>
  <c r="X11" i="11" s="1"/>
  <c r="V15" i="9"/>
  <c r="X15" i="9" s="1"/>
  <c r="V14" i="9"/>
  <c r="X14" i="9" s="1"/>
  <c r="V13" i="9"/>
  <c r="X13" i="9" s="1"/>
  <c r="V12" i="9"/>
  <c r="X12" i="9" s="1"/>
  <c r="V11" i="9"/>
  <c r="X11" i="9" s="1"/>
  <c r="V10" i="9"/>
  <c r="X10" i="9" s="1"/>
  <c r="V23" i="11"/>
  <c r="X23" i="11" s="1"/>
  <c r="V22" i="11"/>
  <c r="X22" i="11" s="1"/>
  <c r="V21" i="11"/>
  <c r="X21" i="11" s="1"/>
  <c r="V18" i="11"/>
  <c r="X18" i="11" s="1"/>
  <c r="V16" i="11"/>
  <c r="X16" i="11" s="1"/>
  <c r="V14" i="11"/>
  <c r="X14" i="11" s="1"/>
  <c r="V15" i="11"/>
  <c r="X15" i="11" s="1"/>
  <c r="V13" i="11"/>
  <c r="X13" i="11" s="1"/>
  <c r="V20" i="11"/>
  <c r="X20" i="11" s="1"/>
  <c r="V10" i="11"/>
  <c r="X10" i="11" s="1"/>
  <c r="V13" i="10"/>
  <c r="X13" i="10" s="1"/>
  <c r="V19" i="11"/>
  <c r="X19" i="11" s="1"/>
  <c r="V11" i="10"/>
  <c r="V12" i="10"/>
  <c r="X12" i="10" s="1"/>
  <c r="V10" i="10"/>
  <c r="V23" i="5"/>
  <c r="V21" i="5"/>
  <c r="V22" i="5"/>
  <c r="U13" i="12"/>
  <c r="U12" i="12"/>
  <c r="W12" i="12" s="1"/>
  <c r="U11" i="12"/>
  <c r="U10" i="12"/>
  <c r="W10" i="12" s="1"/>
  <c r="N15" i="1"/>
  <c r="C22" i="5"/>
  <c r="D22" i="5" s="1"/>
  <c r="C23" i="5"/>
  <c r="D23" i="5" s="1"/>
  <c r="C21" i="5"/>
  <c r="D21" i="5" s="1"/>
  <c r="C14" i="5"/>
  <c r="D14" i="5" s="1"/>
  <c r="C10" i="5"/>
  <c r="D10" i="5" s="1"/>
  <c r="C18" i="5"/>
  <c r="D18" i="5" s="1"/>
  <c r="C13" i="5"/>
  <c r="D13" i="5" s="1"/>
  <c r="C20" i="5"/>
  <c r="D20" i="5" s="1"/>
  <c r="C16" i="5"/>
  <c r="D16" i="5" s="1"/>
  <c r="C12" i="5"/>
  <c r="D12" i="5" s="1"/>
  <c r="C19" i="5"/>
  <c r="D19" i="5" s="1"/>
  <c r="C15" i="5"/>
  <c r="D15" i="5" s="1"/>
  <c r="C11" i="5"/>
  <c r="D11" i="5" s="1"/>
  <c r="V20" i="5"/>
  <c r="V12" i="5"/>
  <c r="V14" i="5"/>
  <c r="X14" i="5" s="1"/>
  <c r="V13" i="5"/>
  <c r="X13" i="5" s="1"/>
  <c r="V15" i="5"/>
  <c r="V18" i="5"/>
  <c r="X18" i="5" s="1"/>
  <c r="V16" i="5"/>
  <c r="V10" i="5"/>
  <c r="V19" i="5"/>
  <c r="V11" i="5"/>
  <c r="X11" i="5" s="1"/>
  <c r="L17" i="1"/>
  <c r="J17" i="1"/>
  <c r="N12" i="1"/>
  <c r="N9" i="1"/>
  <c r="N14" i="1"/>
  <c r="N6" i="1"/>
  <c r="N11" i="1"/>
  <c r="N17" i="1"/>
  <c r="N7" i="1"/>
  <c r="N8" i="1"/>
  <c r="N16" i="1"/>
  <c r="N13" i="1"/>
  <c r="N10" i="1"/>
  <c r="W13" i="12" l="1"/>
  <c r="J17" i="5"/>
  <c r="R17" i="5" s="1"/>
  <c r="S17" i="5" s="1"/>
  <c r="J17" i="11"/>
  <c r="R17" i="11" s="1"/>
  <c r="S17" i="11" s="1"/>
  <c r="X16" i="5"/>
  <c r="AE13" i="10"/>
  <c r="AG13" i="10" s="1"/>
  <c r="Q18" i="11"/>
  <c r="Q22" i="11"/>
  <c r="Q10" i="11"/>
  <c r="M12" i="12"/>
  <c r="O12" i="12" s="1"/>
  <c r="P12" i="12" s="1"/>
  <c r="M10" i="12"/>
  <c r="O10" i="12" s="1"/>
  <c r="P10" i="12" s="1"/>
  <c r="Q13" i="10"/>
  <c r="AJ11" i="10"/>
  <c r="AL11" i="10" s="1"/>
  <c r="AE11" i="10"/>
  <c r="AG11" i="10" s="1"/>
  <c r="X11" i="10"/>
  <c r="AE12" i="10"/>
  <c r="AG12" i="10" s="1"/>
  <c r="X12" i="5"/>
  <c r="Q10" i="10"/>
  <c r="X10" i="10"/>
  <c r="L13" i="12"/>
  <c r="N13" i="12" s="1"/>
  <c r="P13" i="12" s="1"/>
  <c r="L11" i="12"/>
  <c r="N11" i="12" s="1"/>
  <c r="P11" i="12" s="1"/>
  <c r="Q16" i="11"/>
  <c r="W11" i="12"/>
  <c r="AJ10" i="10"/>
  <c r="AL10" i="10" s="1"/>
  <c r="Q13" i="9"/>
  <c r="AE10" i="10"/>
  <c r="AG10" i="10" s="1"/>
  <c r="X19" i="5"/>
  <c r="Q19" i="11"/>
  <c r="Q14" i="11"/>
  <c r="Q15" i="11"/>
  <c r="Q15" i="9"/>
  <c r="Q11" i="9"/>
  <c r="Q11" i="11"/>
  <c r="J11" i="11"/>
  <c r="J22" i="11"/>
  <c r="J13" i="11"/>
  <c r="H12" i="10"/>
  <c r="J12" i="10" s="1"/>
  <c r="L12" i="10"/>
  <c r="L10" i="10"/>
  <c r="H10" i="10"/>
  <c r="J10" i="10" s="1"/>
  <c r="Q13" i="11"/>
  <c r="J12" i="9"/>
  <c r="J12" i="11"/>
  <c r="L13" i="10"/>
  <c r="H13" i="10"/>
  <c r="J13" i="10" s="1"/>
  <c r="Q10" i="9"/>
  <c r="Q12" i="11"/>
  <c r="J16" i="11"/>
  <c r="J10" i="9"/>
  <c r="J15" i="11"/>
  <c r="H10" i="12"/>
  <c r="J10" i="12" s="1"/>
  <c r="Q21" i="11"/>
  <c r="Q12" i="9"/>
  <c r="Q14" i="9"/>
  <c r="J13" i="9"/>
  <c r="J18" i="11"/>
  <c r="R18" i="11" s="1"/>
  <c r="S18" i="11" s="1"/>
  <c r="J14" i="11"/>
  <c r="H12" i="12"/>
  <c r="J12" i="12" s="1"/>
  <c r="J19" i="11"/>
  <c r="L11" i="10"/>
  <c r="AX11" i="10" s="1"/>
  <c r="H11" i="10"/>
  <c r="J11" i="10" s="1"/>
  <c r="Q11" i="10"/>
  <c r="J23" i="11"/>
  <c r="J20" i="11"/>
  <c r="J15" i="9"/>
  <c r="R15" i="9" s="1"/>
  <c r="S15" i="9" s="1"/>
  <c r="J14" i="9"/>
  <c r="H11" i="12"/>
  <c r="J11" i="12" s="1"/>
  <c r="Q12" i="10"/>
  <c r="J11" i="9"/>
  <c r="J21" i="11"/>
  <c r="J10" i="11"/>
  <c r="H13" i="12"/>
  <c r="J13" i="12" s="1"/>
  <c r="Q23" i="11"/>
  <c r="Q20" i="11"/>
  <c r="X10" i="5"/>
  <c r="X20" i="5"/>
  <c r="X15" i="5"/>
  <c r="O11" i="5"/>
  <c r="Q11" i="5" s="1"/>
  <c r="AJ11" i="5"/>
  <c r="AL11" i="5" s="1"/>
  <c r="H11" i="5"/>
  <c r="J11" i="5" s="1"/>
  <c r="AE11" i="5"/>
  <c r="AG11" i="5" s="1"/>
  <c r="L11" i="5"/>
  <c r="AE13" i="5"/>
  <c r="AG13" i="5" s="1"/>
  <c r="O13" i="5"/>
  <c r="Q13" i="5" s="1"/>
  <c r="H13" i="5"/>
  <c r="J13" i="5" s="1"/>
  <c r="AJ13" i="5"/>
  <c r="AL13" i="5" s="1"/>
  <c r="L13" i="5"/>
  <c r="AJ14" i="5"/>
  <c r="AL14" i="5" s="1"/>
  <c r="AE14" i="5"/>
  <c r="AG14" i="5" s="1"/>
  <c r="L14" i="5"/>
  <c r="O14" i="5"/>
  <c r="Q14" i="5" s="1"/>
  <c r="H14" i="5"/>
  <c r="J14" i="5" s="1"/>
  <c r="AJ21" i="5"/>
  <c r="AL21" i="5" s="1"/>
  <c r="O21" i="5"/>
  <c r="Q21" i="5" s="1"/>
  <c r="L21" i="5"/>
  <c r="AE21" i="5"/>
  <c r="AG21" i="5" s="1"/>
  <c r="X21" i="5"/>
  <c r="H21" i="5"/>
  <c r="J21" i="5" s="1"/>
  <c r="AE22" i="5"/>
  <c r="AG22" i="5" s="1"/>
  <c r="L22" i="5"/>
  <c r="X22" i="5"/>
  <c r="H22" i="5"/>
  <c r="J22" i="5" s="1"/>
  <c r="O22" i="5"/>
  <c r="Q22" i="5" s="1"/>
  <c r="AJ22" i="5"/>
  <c r="AL22" i="5" s="1"/>
  <c r="AE15" i="5"/>
  <c r="AG15" i="5" s="1"/>
  <c r="O15" i="5"/>
  <c r="Q15" i="5" s="1"/>
  <c r="L15" i="5"/>
  <c r="H15" i="5"/>
  <c r="J15" i="5" s="1"/>
  <c r="AJ15" i="5"/>
  <c r="AL15" i="5" s="1"/>
  <c r="L12" i="5"/>
  <c r="AJ12" i="5"/>
  <c r="AL12" i="5" s="1"/>
  <c r="AE12" i="5"/>
  <c r="AG12" i="5" s="1"/>
  <c r="O12" i="5"/>
  <c r="Q12" i="5" s="1"/>
  <c r="H12" i="5"/>
  <c r="J12" i="5" s="1"/>
  <c r="O18" i="5"/>
  <c r="Q18" i="5" s="1"/>
  <c r="H18" i="5"/>
  <c r="J18" i="5" s="1"/>
  <c r="L18" i="5"/>
  <c r="AE18" i="5"/>
  <c r="AG18" i="5" s="1"/>
  <c r="AJ18" i="5"/>
  <c r="AL18" i="5" s="1"/>
  <c r="AE19" i="5"/>
  <c r="AG19" i="5" s="1"/>
  <c r="L19" i="5"/>
  <c r="AJ19" i="5"/>
  <c r="AL19" i="5" s="1"/>
  <c r="H19" i="5"/>
  <c r="J19" i="5" s="1"/>
  <c r="O19" i="5"/>
  <c r="Q19" i="5" s="1"/>
  <c r="L16" i="5"/>
  <c r="AJ16" i="5"/>
  <c r="AL16" i="5" s="1"/>
  <c r="H16" i="5"/>
  <c r="J16" i="5" s="1"/>
  <c r="AE16" i="5"/>
  <c r="AG16" i="5" s="1"/>
  <c r="O16" i="5"/>
  <c r="Q16" i="5" s="1"/>
  <c r="H20" i="5"/>
  <c r="J20" i="5" s="1"/>
  <c r="AE20" i="5"/>
  <c r="AG20" i="5" s="1"/>
  <c r="L20" i="5"/>
  <c r="AJ20" i="5"/>
  <c r="AL20" i="5" s="1"/>
  <c r="O20" i="5"/>
  <c r="Q20" i="5" s="1"/>
  <c r="AE10" i="5"/>
  <c r="AG10" i="5" s="1"/>
  <c r="AJ10" i="5"/>
  <c r="AL10" i="5" s="1"/>
  <c r="O10" i="5"/>
  <c r="Q10" i="5" s="1"/>
  <c r="H10" i="5"/>
  <c r="J10" i="5" s="1"/>
  <c r="L10" i="5"/>
  <c r="H23" i="5"/>
  <c r="J23" i="5" s="1"/>
  <c r="AE23" i="5"/>
  <c r="AG23" i="5" s="1"/>
  <c r="X23" i="5"/>
  <c r="L23" i="5"/>
  <c r="AJ23" i="5"/>
  <c r="AL23" i="5" s="1"/>
  <c r="O23" i="5"/>
  <c r="Q23" i="5" s="1"/>
  <c r="I30" i="3"/>
  <c r="I42" i="3"/>
  <c r="C23" i="3"/>
  <c r="C22" i="3"/>
  <c r="C21" i="3"/>
  <c r="C20" i="3"/>
  <c r="C19" i="3"/>
  <c r="C18" i="3"/>
  <c r="C17" i="3"/>
  <c r="C16" i="3"/>
  <c r="C15" i="3"/>
  <c r="C14" i="3"/>
  <c r="F11" i="15" l="1"/>
  <c r="U17" i="5"/>
  <c r="F15" i="15"/>
  <c r="F12" i="15"/>
  <c r="U17" i="11"/>
  <c r="F10" i="15"/>
  <c r="F14" i="15"/>
  <c r="F13" i="15"/>
  <c r="AI12" i="15"/>
  <c r="AK12" i="15" s="1"/>
  <c r="AL12" i="15" s="1"/>
  <c r="AQ12" i="15" s="1"/>
  <c r="AR12" i="15" s="1"/>
  <c r="AI15" i="15"/>
  <c r="AK15" i="15" s="1"/>
  <c r="AL15" i="15" s="1"/>
  <c r="AQ15" i="15" s="1"/>
  <c r="AR15" i="15" s="1"/>
  <c r="AI13" i="15"/>
  <c r="AK13" i="15" s="1"/>
  <c r="AL13" i="15" s="1"/>
  <c r="AQ13" i="15" s="1"/>
  <c r="AR13" i="15" s="1"/>
  <c r="AI10" i="15"/>
  <c r="AK10" i="15" s="1"/>
  <c r="AL10" i="15" s="1"/>
  <c r="AQ10" i="15" s="1"/>
  <c r="AR10" i="15" s="1"/>
  <c r="AI11" i="15"/>
  <c r="AK11" i="15" s="1"/>
  <c r="AL11" i="15" s="1"/>
  <c r="AQ11" i="15" s="1"/>
  <c r="AR11" i="15" s="1"/>
  <c r="AI14" i="15"/>
  <c r="AK14" i="15" s="1"/>
  <c r="AL14" i="15" s="1"/>
  <c r="AQ14" i="15" s="1"/>
  <c r="AR14" i="15" s="1"/>
  <c r="H12" i="15"/>
  <c r="J12" i="15" s="1"/>
  <c r="K12" i="15" s="1"/>
  <c r="H10" i="15"/>
  <c r="J10" i="15" s="1"/>
  <c r="K10" i="15" s="1"/>
  <c r="W17" i="5"/>
  <c r="Y17" i="5" s="1"/>
  <c r="Z17" i="5" s="1"/>
  <c r="W17" i="11"/>
  <c r="Y17" i="11" s="1"/>
  <c r="Z17" i="11" s="1"/>
  <c r="H14" i="15"/>
  <c r="J14" i="15" s="1"/>
  <c r="K14" i="15" s="1"/>
  <c r="H13" i="15"/>
  <c r="J13" i="15" s="1"/>
  <c r="K13" i="15" s="1"/>
  <c r="H15" i="15"/>
  <c r="J15" i="15" s="1"/>
  <c r="K15" i="15" s="1"/>
  <c r="H11" i="15"/>
  <c r="J11" i="15" s="1"/>
  <c r="K11" i="15" s="1"/>
  <c r="Q10" i="12"/>
  <c r="R10" i="12" s="1"/>
  <c r="R20" i="11"/>
  <c r="S20" i="11" s="1"/>
  <c r="AX13" i="10"/>
  <c r="R10" i="11"/>
  <c r="S10" i="11" s="1"/>
  <c r="R14" i="11"/>
  <c r="S14" i="11" s="1"/>
  <c r="R22" i="11"/>
  <c r="S22" i="11" s="1"/>
  <c r="R11" i="11"/>
  <c r="S11" i="11" s="1"/>
  <c r="Q12" i="12"/>
  <c r="R12" i="12" s="1"/>
  <c r="AX12" i="10"/>
  <c r="R10" i="10"/>
  <c r="S10" i="10" s="1"/>
  <c r="R16" i="11"/>
  <c r="S16" i="11" s="1"/>
  <c r="R11" i="9"/>
  <c r="S11" i="9" s="1"/>
  <c r="AX10" i="10"/>
  <c r="Q11" i="12"/>
  <c r="R11" i="12" s="1"/>
  <c r="Q13" i="12"/>
  <c r="R13" i="12" s="1"/>
  <c r="R19" i="11"/>
  <c r="S19" i="11" s="1"/>
  <c r="R21" i="11"/>
  <c r="S21" i="11" s="1"/>
  <c r="R13" i="9"/>
  <c r="S13" i="9" s="1"/>
  <c r="R15" i="11"/>
  <c r="S15" i="11" s="1"/>
  <c r="R21" i="5"/>
  <c r="S21" i="5" s="1"/>
  <c r="R14" i="9"/>
  <c r="S14" i="9" s="1"/>
  <c r="R10" i="9"/>
  <c r="S10" i="9" s="1"/>
  <c r="R13" i="10"/>
  <c r="S13" i="10" s="1"/>
  <c r="R23" i="11"/>
  <c r="S23" i="11" s="1"/>
  <c r="R12" i="11"/>
  <c r="S12" i="11" s="1"/>
  <c r="R12" i="9"/>
  <c r="S12" i="9" s="1"/>
  <c r="R12" i="10"/>
  <c r="S12" i="10" s="1"/>
  <c r="R13" i="11"/>
  <c r="S13" i="11" s="1"/>
  <c r="R11" i="10"/>
  <c r="S11" i="10" s="1"/>
  <c r="U19" i="11"/>
  <c r="U13" i="10"/>
  <c r="E12" i="14" s="1"/>
  <c r="U12" i="10"/>
  <c r="E11" i="14" s="1"/>
  <c r="U11" i="10"/>
  <c r="E10" i="14" s="1"/>
  <c r="U10" i="10"/>
  <c r="E9" i="14" s="1"/>
  <c r="T13" i="12"/>
  <c r="E16" i="14" s="1"/>
  <c r="T12" i="12"/>
  <c r="E15" i="14" s="1"/>
  <c r="T11" i="12"/>
  <c r="E14" i="14" s="1"/>
  <c r="T10" i="12"/>
  <c r="E13" i="14" s="1"/>
  <c r="U12" i="11"/>
  <c r="U11" i="11"/>
  <c r="U23" i="11"/>
  <c r="U22" i="11"/>
  <c r="U21" i="11"/>
  <c r="U18" i="11"/>
  <c r="U14" i="11"/>
  <c r="U15" i="9"/>
  <c r="E8" i="14" s="1"/>
  <c r="U14" i="9"/>
  <c r="E7" i="14" s="1"/>
  <c r="U13" i="9"/>
  <c r="E6" i="14" s="1"/>
  <c r="U12" i="9"/>
  <c r="E5" i="14" s="1"/>
  <c r="U11" i="9"/>
  <c r="E4" i="14" s="1"/>
  <c r="U10" i="9"/>
  <c r="E3" i="14" s="1"/>
  <c r="U16" i="11"/>
  <c r="E21" i="14" s="1"/>
  <c r="U15" i="11"/>
  <c r="U13" i="11"/>
  <c r="U10" i="11"/>
  <c r="U20" i="11"/>
  <c r="U22" i="5"/>
  <c r="U23" i="5"/>
  <c r="U21" i="5"/>
  <c r="U20" i="5"/>
  <c r="U19" i="5"/>
  <c r="U18" i="5"/>
  <c r="U16" i="5"/>
  <c r="E19" i="14" s="1"/>
  <c r="U15" i="5"/>
  <c r="U14" i="5"/>
  <c r="U13" i="5"/>
  <c r="U12" i="5"/>
  <c r="U11" i="5"/>
  <c r="U10" i="5"/>
  <c r="V13" i="12"/>
  <c r="X13" i="12" s="1"/>
  <c r="Y13" i="12" s="1"/>
  <c r="V12" i="12"/>
  <c r="X12" i="12" s="1"/>
  <c r="Y12" i="12" s="1"/>
  <c r="V10" i="12"/>
  <c r="X10" i="12" s="1"/>
  <c r="Y10" i="12" s="1"/>
  <c r="V11" i="12"/>
  <c r="X11" i="12" s="1"/>
  <c r="Y11" i="12" s="1"/>
  <c r="W23" i="11"/>
  <c r="Y23" i="11" s="1"/>
  <c r="Z23" i="11" s="1"/>
  <c r="W22" i="11"/>
  <c r="Y22" i="11" s="1"/>
  <c r="Z22" i="11" s="1"/>
  <c r="W21" i="11"/>
  <c r="Y21" i="11" s="1"/>
  <c r="Z21" i="11" s="1"/>
  <c r="W18" i="11"/>
  <c r="Y18" i="11" s="1"/>
  <c r="Z18" i="11" s="1"/>
  <c r="W16" i="11"/>
  <c r="Y16" i="11" s="1"/>
  <c r="Z16" i="11" s="1"/>
  <c r="W14" i="11"/>
  <c r="Y14" i="11" s="1"/>
  <c r="Z14" i="11" s="1"/>
  <c r="W20" i="11"/>
  <c r="Y20" i="11" s="1"/>
  <c r="Z20" i="11" s="1"/>
  <c r="W13" i="11"/>
  <c r="Y13" i="11" s="1"/>
  <c r="Z13" i="11" s="1"/>
  <c r="W10" i="11"/>
  <c r="Y10" i="11" s="1"/>
  <c r="Z10" i="11" s="1"/>
  <c r="W12" i="10"/>
  <c r="Y12" i="10" s="1"/>
  <c r="Z12" i="10" s="1"/>
  <c r="W15" i="11"/>
  <c r="Y15" i="11" s="1"/>
  <c r="Z15" i="11" s="1"/>
  <c r="W19" i="11"/>
  <c r="Y19" i="11" s="1"/>
  <c r="Z19" i="11" s="1"/>
  <c r="W13" i="10"/>
  <c r="Y13" i="10" s="1"/>
  <c r="Z13" i="10" s="1"/>
  <c r="W11" i="10"/>
  <c r="Y11" i="10" s="1"/>
  <c r="Z11" i="10" s="1"/>
  <c r="W12" i="9"/>
  <c r="Y12" i="9" s="1"/>
  <c r="Z12" i="9" s="1"/>
  <c r="W12" i="11"/>
  <c r="Y12" i="11" s="1"/>
  <c r="Z12" i="11" s="1"/>
  <c r="W10" i="10"/>
  <c r="Y10" i="10" s="1"/>
  <c r="Z10" i="10" s="1"/>
  <c r="W14" i="9"/>
  <c r="Y14" i="9" s="1"/>
  <c r="Z14" i="9" s="1"/>
  <c r="W13" i="9"/>
  <c r="Y13" i="9" s="1"/>
  <c r="Z13" i="9" s="1"/>
  <c r="W15" i="9"/>
  <c r="Y15" i="9" s="1"/>
  <c r="Z15" i="9" s="1"/>
  <c r="W11" i="9"/>
  <c r="Y11" i="9" s="1"/>
  <c r="Z11" i="9" s="1"/>
  <c r="W11" i="11"/>
  <c r="Y11" i="11" s="1"/>
  <c r="Z11" i="11" s="1"/>
  <c r="W10" i="9"/>
  <c r="Y10" i="9" s="1"/>
  <c r="Z10" i="9" s="1"/>
  <c r="W22" i="5"/>
  <c r="Y22" i="5" s="1"/>
  <c r="Z22" i="5" s="1"/>
  <c r="W23" i="5"/>
  <c r="Y23" i="5" s="1"/>
  <c r="Z23" i="5" s="1"/>
  <c r="W21" i="5"/>
  <c r="Y21" i="5" s="1"/>
  <c r="Z21" i="5" s="1"/>
  <c r="AX14" i="5"/>
  <c r="AX20" i="5"/>
  <c r="R23" i="5"/>
  <c r="S23" i="5" s="1"/>
  <c r="AX19" i="5"/>
  <c r="AX22" i="5"/>
  <c r="AX21" i="5"/>
  <c r="AX23" i="5"/>
  <c r="R20" i="5"/>
  <c r="S20" i="5" s="1"/>
  <c r="R10" i="5"/>
  <c r="S10" i="5" s="1"/>
  <c r="AX16" i="5"/>
  <c r="AX15" i="5"/>
  <c r="R14" i="5"/>
  <c r="S14" i="5" s="1"/>
  <c r="R16" i="5"/>
  <c r="S16" i="5" s="1"/>
  <c r="R18" i="5"/>
  <c r="S18" i="5" s="1"/>
  <c r="R12" i="5"/>
  <c r="S12" i="5" s="1"/>
  <c r="R15" i="5"/>
  <c r="S15" i="5" s="1"/>
  <c r="R13" i="5"/>
  <c r="S13" i="5" s="1"/>
  <c r="R11" i="5"/>
  <c r="S11" i="5" s="1"/>
  <c r="AX10" i="5"/>
  <c r="R19" i="5"/>
  <c r="S19" i="5" s="1"/>
  <c r="AX18" i="5"/>
  <c r="AX12" i="5"/>
  <c r="R22" i="5"/>
  <c r="S22" i="5" s="1"/>
  <c r="AX13" i="5"/>
  <c r="AX11" i="5"/>
  <c r="W19" i="5"/>
  <c r="Y19" i="5" s="1"/>
  <c r="Z19" i="5" s="1"/>
  <c r="W10" i="5"/>
  <c r="Y10" i="5" s="1"/>
  <c r="Z10" i="5" s="1"/>
  <c r="W15" i="5"/>
  <c r="Y15" i="5" s="1"/>
  <c r="Z15" i="5" s="1"/>
  <c r="W12" i="5"/>
  <c r="Y12" i="5" s="1"/>
  <c r="Z12" i="5" s="1"/>
  <c r="W18" i="5"/>
  <c r="Y18" i="5" s="1"/>
  <c r="Z18" i="5" s="1"/>
  <c r="W20" i="5"/>
  <c r="Y20" i="5" s="1"/>
  <c r="Z20" i="5" s="1"/>
  <c r="W13" i="5"/>
  <c r="Y13" i="5" s="1"/>
  <c r="Z13" i="5" s="1"/>
  <c r="W14" i="5"/>
  <c r="Y14" i="5" s="1"/>
  <c r="Z14" i="5" s="1"/>
  <c r="W11" i="5"/>
  <c r="Y11" i="5" s="1"/>
  <c r="Z11" i="5" s="1"/>
  <c r="W16" i="5"/>
  <c r="Y16" i="5" s="1"/>
  <c r="Z16" i="5" s="1"/>
  <c r="Y14" i="15" l="1"/>
  <c r="AB14" i="15" s="1"/>
  <c r="E29" i="14"/>
  <c r="X14" i="15"/>
  <c r="AA14" i="15" s="1"/>
  <c r="AD14" i="15" s="1"/>
  <c r="Z14" i="15"/>
  <c r="AC14" i="15" s="1"/>
  <c r="Z10" i="15"/>
  <c r="AC10" i="15" s="1"/>
  <c r="E25" i="14"/>
  <c r="Y10" i="15"/>
  <c r="AB10" i="15" s="1"/>
  <c r="X10" i="15"/>
  <c r="AA10" i="15" s="1"/>
  <c r="AM17" i="11"/>
  <c r="AP17" i="11" s="1"/>
  <c r="E22" i="14"/>
  <c r="AN17" i="11"/>
  <c r="AQ17" i="11" s="1"/>
  <c r="AO17" i="11"/>
  <c r="AR17" i="11" s="1"/>
  <c r="Y12" i="15"/>
  <c r="AB12" i="15" s="1"/>
  <c r="E27" i="14"/>
  <c r="X12" i="15"/>
  <c r="AA12" i="15" s="1"/>
  <c r="AD12" i="15" s="1"/>
  <c r="AE12" i="15" s="1"/>
  <c r="Z12" i="15"/>
  <c r="AC12" i="15" s="1"/>
  <c r="AE14" i="15"/>
  <c r="X15" i="15"/>
  <c r="AA15" i="15" s="1"/>
  <c r="E30" i="14"/>
  <c r="Y15" i="15"/>
  <c r="AB15" i="15" s="1"/>
  <c r="Z15" i="15"/>
  <c r="AC15" i="15" s="1"/>
  <c r="AW17" i="11"/>
  <c r="AM17" i="5"/>
  <c r="AP17" i="5" s="1"/>
  <c r="E20" i="14"/>
  <c r="AN17" i="5"/>
  <c r="AQ17" i="5" s="1"/>
  <c r="AO17" i="5"/>
  <c r="AR17" i="5" s="1"/>
  <c r="Z13" i="15"/>
  <c r="AC13" i="15" s="1"/>
  <c r="E28" i="14"/>
  <c r="X13" i="15"/>
  <c r="AA13" i="15" s="1"/>
  <c r="Y13" i="15"/>
  <c r="AB13" i="15" s="1"/>
  <c r="AW17" i="5"/>
  <c r="Z11" i="15"/>
  <c r="AC11" i="15" s="1"/>
  <c r="E26" i="14"/>
  <c r="Y11" i="15"/>
  <c r="AB11" i="15" s="1"/>
  <c r="X11" i="15"/>
  <c r="AA11" i="15" s="1"/>
  <c r="AD11" i="15" s="1"/>
  <c r="AE11" i="15" s="1"/>
  <c r="AW22" i="11"/>
  <c r="AW22" i="5"/>
  <c r="AW15" i="9"/>
  <c r="AW13" i="10"/>
  <c r="AW10" i="11"/>
  <c r="AW10" i="9"/>
  <c r="AW19" i="11"/>
  <c r="AL13" i="12"/>
  <c r="AW23" i="5"/>
  <c r="AN13" i="5"/>
  <c r="AQ13" i="5" s="1"/>
  <c r="AO13" i="5"/>
  <c r="AR13" i="5" s="1"/>
  <c r="AM13" i="5"/>
  <c r="AP13" i="5" s="1"/>
  <c r="AM18" i="5"/>
  <c r="AP18" i="5" s="1"/>
  <c r="AO18" i="5"/>
  <c r="AR18" i="5" s="1"/>
  <c r="AN18" i="5"/>
  <c r="AQ18" i="5" s="1"/>
  <c r="AN22" i="5"/>
  <c r="AQ22" i="5" s="1"/>
  <c r="AO22" i="5"/>
  <c r="AR22" i="5" s="1"/>
  <c r="AM22" i="5"/>
  <c r="AP22" i="5" s="1"/>
  <c r="AM20" i="11"/>
  <c r="AP20" i="11" s="1"/>
  <c r="AO20" i="11"/>
  <c r="AR20" i="11" s="1"/>
  <c r="AN20" i="11"/>
  <c r="AQ20" i="11" s="1"/>
  <c r="AN13" i="11"/>
  <c r="AQ13" i="11" s="1"/>
  <c r="AM13" i="11"/>
  <c r="AP13" i="11" s="1"/>
  <c r="AO13" i="11"/>
  <c r="AR13" i="11" s="1"/>
  <c r="AM11" i="9"/>
  <c r="AP11" i="9" s="1"/>
  <c r="AO11" i="9"/>
  <c r="AR11" i="9" s="1"/>
  <c r="AN11" i="9"/>
  <c r="AQ11" i="9" s="1"/>
  <c r="AO15" i="9"/>
  <c r="AR15" i="9" s="1"/>
  <c r="AM15" i="9"/>
  <c r="AP15" i="9" s="1"/>
  <c r="AN15" i="9"/>
  <c r="AQ15" i="9" s="1"/>
  <c r="AM22" i="11"/>
  <c r="AP22" i="11" s="1"/>
  <c r="AN22" i="11"/>
  <c r="AQ22" i="11" s="1"/>
  <c r="AO22" i="11"/>
  <c r="AR22" i="11" s="1"/>
  <c r="AB11" i="12"/>
  <c r="AE11" i="12" s="1"/>
  <c r="AD11" i="12"/>
  <c r="AG11" i="12" s="1"/>
  <c r="AC11" i="12"/>
  <c r="AF11" i="12" s="1"/>
  <c r="AM11" i="10"/>
  <c r="AP11" i="10" s="1"/>
  <c r="AN11" i="10"/>
  <c r="AQ11" i="10" s="1"/>
  <c r="AO11" i="10"/>
  <c r="AR11" i="10" s="1"/>
  <c r="AW12" i="9"/>
  <c r="AW20" i="11"/>
  <c r="AL11" i="12"/>
  <c r="AW11" i="9"/>
  <c r="AW14" i="9"/>
  <c r="AW11" i="10"/>
  <c r="AW12" i="10"/>
  <c r="AW21" i="11"/>
  <c r="AL10" i="12"/>
  <c r="AM10" i="5"/>
  <c r="AP10" i="5" s="1"/>
  <c r="AO10" i="5"/>
  <c r="AR10" i="5" s="1"/>
  <c r="AN10" i="5"/>
  <c r="AQ10" i="5" s="1"/>
  <c r="AO14" i="5"/>
  <c r="AR14" i="5" s="1"/>
  <c r="AM14" i="5"/>
  <c r="AP14" i="5" s="1"/>
  <c r="AN14" i="5"/>
  <c r="AQ14" i="5" s="1"/>
  <c r="AN19" i="5"/>
  <c r="AQ19" i="5" s="1"/>
  <c r="AO19" i="5"/>
  <c r="AR19" i="5" s="1"/>
  <c r="AM19" i="5"/>
  <c r="AP19" i="5" s="1"/>
  <c r="AM15" i="11"/>
  <c r="AP15" i="11" s="1"/>
  <c r="AN15" i="11"/>
  <c r="AQ15" i="11" s="1"/>
  <c r="AO15" i="11"/>
  <c r="AR15" i="11" s="1"/>
  <c r="AO12" i="9"/>
  <c r="AR12" i="9" s="1"/>
  <c r="AN12" i="9"/>
  <c r="AQ12" i="9" s="1"/>
  <c r="AM12" i="9"/>
  <c r="AP12" i="9" s="1"/>
  <c r="AO14" i="11"/>
  <c r="AR14" i="11" s="1"/>
  <c r="AM14" i="11"/>
  <c r="AP14" i="11" s="1"/>
  <c r="AN14" i="11"/>
  <c r="AQ14" i="11" s="1"/>
  <c r="AN23" i="11"/>
  <c r="AQ23" i="11" s="1"/>
  <c r="AO23" i="11"/>
  <c r="AR23" i="11" s="1"/>
  <c r="AM23" i="11"/>
  <c r="AP23" i="11" s="1"/>
  <c r="AN11" i="11"/>
  <c r="AQ11" i="11" s="1"/>
  <c r="AO11" i="11"/>
  <c r="AR11" i="11" s="1"/>
  <c r="AM11" i="11"/>
  <c r="AP11" i="11" s="1"/>
  <c r="AB12" i="12"/>
  <c r="AE12" i="12" s="1"/>
  <c r="AD12" i="12"/>
  <c r="AG12" i="12" s="1"/>
  <c r="AC12" i="12"/>
  <c r="AF12" i="12" s="1"/>
  <c r="AO12" i="10"/>
  <c r="AR12" i="10" s="1"/>
  <c r="AM12" i="10"/>
  <c r="AP12" i="10" s="1"/>
  <c r="AN12" i="10"/>
  <c r="AQ12" i="10" s="1"/>
  <c r="AW13" i="9"/>
  <c r="AW15" i="11"/>
  <c r="AW18" i="11"/>
  <c r="AW21" i="5"/>
  <c r="AW10" i="10"/>
  <c r="AW14" i="11"/>
  <c r="AL12" i="12"/>
  <c r="AO11" i="5"/>
  <c r="AR11" i="5" s="1"/>
  <c r="AM11" i="5"/>
  <c r="AP11" i="5" s="1"/>
  <c r="AN11" i="5"/>
  <c r="AQ11" i="5" s="1"/>
  <c r="AO15" i="5"/>
  <c r="AR15" i="5" s="1"/>
  <c r="AN15" i="5"/>
  <c r="AQ15" i="5" s="1"/>
  <c r="AM15" i="5"/>
  <c r="AP15" i="5" s="1"/>
  <c r="AO20" i="5"/>
  <c r="AR20" i="5" s="1"/>
  <c r="AN20" i="5"/>
  <c r="AQ20" i="5" s="1"/>
  <c r="AM20" i="5"/>
  <c r="AP20" i="5" s="1"/>
  <c r="AM21" i="5"/>
  <c r="AP21" i="5" s="1"/>
  <c r="AN21" i="5"/>
  <c r="AQ21" i="5" s="1"/>
  <c r="AO21" i="5"/>
  <c r="AR21" i="5" s="1"/>
  <c r="AN16" i="11"/>
  <c r="AQ16" i="11" s="1"/>
  <c r="AO16" i="11"/>
  <c r="AR16" i="11" s="1"/>
  <c r="AM16" i="11"/>
  <c r="AP16" i="11" s="1"/>
  <c r="AO13" i="9"/>
  <c r="AR13" i="9" s="1"/>
  <c r="AN13" i="9"/>
  <c r="AQ13" i="9" s="1"/>
  <c r="AM13" i="9"/>
  <c r="AP13" i="9" s="1"/>
  <c r="AM18" i="11"/>
  <c r="AP18" i="11" s="1"/>
  <c r="AO18" i="11"/>
  <c r="AR18" i="11" s="1"/>
  <c r="AN18" i="11"/>
  <c r="AQ18" i="11" s="1"/>
  <c r="AM12" i="11"/>
  <c r="AP12" i="11" s="1"/>
  <c r="AO12" i="11"/>
  <c r="AR12" i="11" s="1"/>
  <c r="AN12" i="11"/>
  <c r="AQ12" i="11" s="1"/>
  <c r="AB13" i="12"/>
  <c r="AE13" i="12" s="1"/>
  <c r="AD13" i="12"/>
  <c r="AG13" i="12" s="1"/>
  <c r="AC13" i="12"/>
  <c r="AF13" i="12" s="1"/>
  <c r="AM13" i="10"/>
  <c r="AP13" i="10" s="1"/>
  <c r="AO13" i="10"/>
  <c r="AR13" i="10" s="1"/>
  <c r="AN13" i="10"/>
  <c r="AQ13" i="10" s="1"/>
  <c r="AW11" i="11"/>
  <c r="AW12" i="11"/>
  <c r="AW13" i="11"/>
  <c r="AW16" i="11"/>
  <c r="AW23" i="11"/>
  <c r="AN12" i="5"/>
  <c r="AQ12" i="5" s="1"/>
  <c r="AO12" i="5"/>
  <c r="AR12" i="5" s="1"/>
  <c r="AM12" i="5"/>
  <c r="AP12" i="5" s="1"/>
  <c r="AO16" i="5"/>
  <c r="AR16" i="5" s="1"/>
  <c r="AM16" i="5"/>
  <c r="AP16" i="5" s="1"/>
  <c r="AN16" i="5"/>
  <c r="AQ16" i="5" s="1"/>
  <c r="AN23" i="5"/>
  <c r="AQ23" i="5" s="1"/>
  <c r="AO23" i="5"/>
  <c r="AR23" i="5" s="1"/>
  <c r="AM23" i="5"/>
  <c r="AP23" i="5" s="1"/>
  <c r="AM10" i="11"/>
  <c r="AP10" i="11" s="1"/>
  <c r="AN10" i="11"/>
  <c r="AQ10" i="11" s="1"/>
  <c r="AO10" i="11"/>
  <c r="AR10" i="11" s="1"/>
  <c r="AM10" i="9"/>
  <c r="AP10" i="9" s="1"/>
  <c r="AN10" i="9"/>
  <c r="AQ10" i="9" s="1"/>
  <c r="AO10" i="9"/>
  <c r="AR10" i="9" s="1"/>
  <c r="AM14" i="9"/>
  <c r="AP14" i="9" s="1"/>
  <c r="AO14" i="9"/>
  <c r="AR14" i="9" s="1"/>
  <c r="AN14" i="9"/>
  <c r="AQ14" i="9" s="1"/>
  <c r="AN21" i="11"/>
  <c r="AQ21" i="11" s="1"/>
  <c r="AM21" i="11"/>
  <c r="AP21" i="11" s="1"/>
  <c r="AO21" i="11"/>
  <c r="AR21" i="11" s="1"/>
  <c r="AB10" i="12"/>
  <c r="AE10" i="12" s="1"/>
  <c r="AD10" i="12"/>
  <c r="AG10" i="12" s="1"/>
  <c r="AC10" i="12"/>
  <c r="AF10" i="12" s="1"/>
  <c r="AM10" i="10"/>
  <c r="AP10" i="10" s="1"/>
  <c r="AO10" i="10"/>
  <c r="AR10" i="10" s="1"/>
  <c r="AN10" i="10"/>
  <c r="AQ10" i="10" s="1"/>
  <c r="AM19" i="11"/>
  <c r="AP19" i="11" s="1"/>
  <c r="AO19" i="11"/>
  <c r="AR19" i="11" s="1"/>
  <c r="AN19" i="11"/>
  <c r="AQ19" i="11" s="1"/>
  <c r="AW11" i="5"/>
  <c r="AW20" i="5"/>
  <c r="AW12" i="5"/>
  <c r="AW10" i="5"/>
  <c r="AW19" i="5"/>
  <c r="AW14" i="5"/>
  <c r="AW16" i="5"/>
  <c r="AW15" i="5"/>
  <c r="AW13" i="5"/>
  <c r="AW18" i="5"/>
  <c r="AT11" i="15" l="1"/>
  <c r="AF11" i="15"/>
  <c r="AV11" i="15" s="1"/>
  <c r="H26" i="14" s="1"/>
  <c r="AD13" i="15"/>
  <c r="AE13" i="15" s="1"/>
  <c r="AD15" i="15"/>
  <c r="AE15" i="15" s="1"/>
  <c r="AF12" i="15"/>
  <c r="AV12" i="15" s="1"/>
  <c r="H27" i="14" s="1"/>
  <c r="AT12" i="15"/>
  <c r="AF14" i="15"/>
  <c r="AV14" i="15" s="1"/>
  <c r="H29" i="14" s="1"/>
  <c r="AT14" i="15"/>
  <c r="AS17" i="11"/>
  <c r="AS17" i="5"/>
  <c r="AD10" i="15"/>
  <c r="AE10" i="15" s="1"/>
  <c r="AS12" i="5"/>
  <c r="AS13" i="11"/>
  <c r="AT13" i="11" s="1"/>
  <c r="AS16" i="5"/>
  <c r="AS11" i="5"/>
  <c r="AT11" i="5" s="1"/>
  <c r="AS15" i="11"/>
  <c r="AT15" i="11" s="1"/>
  <c r="AS21" i="11"/>
  <c r="AS11" i="10"/>
  <c r="AT11" i="10" s="1"/>
  <c r="AS13" i="5"/>
  <c r="AT13" i="5" s="1"/>
  <c r="AS10" i="10"/>
  <c r="AS10" i="5"/>
  <c r="AT10" i="5" s="1"/>
  <c r="AS15" i="9"/>
  <c r="AT15" i="9" s="1"/>
  <c r="AH10" i="12"/>
  <c r="AI10" i="12" s="1"/>
  <c r="AH13" i="12"/>
  <c r="AI13" i="12" s="1"/>
  <c r="AS10" i="11"/>
  <c r="AT10" i="11" s="1"/>
  <c r="AS23" i="5"/>
  <c r="AT23" i="5" s="1"/>
  <c r="AS18" i="11"/>
  <c r="AT18" i="11" s="1"/>
  <c r="AS16" i="11"/>
  <c r="AT16" i="11" s="1"/>
  <c r="AS15" i="5"/>
  <c r="AT15" i="5" s="1"/>
  <c r="AS11" i="11"/>
  <c r="AT11" i="11" s="1"/>
  <c r="AS14" i="9"/>
  <c r="AT14" i="9" s="1"/>
  <c r="AS10" i="9"/>
  <c r="AT10" i="9" s="1"/>
  <c r="AS13" i="9"/>
  <c r="AT13" i="9" s="1"/>
  <c r="AS20" i="5"/>
  <c r="AT20" i="5" s="1"/>
  <c r="AS12" i="9"/>
  <c r="AT12" i="9" s="1"/>
  <c r="AS19" i="5"/>
  <c r="AT19" i="5" s="1"/>
  <c r="AS14" i="5"/>
  <c r="AT14" i="5" s="1"/>
  <c r="AS22" i="11"/>
  <c r="AT22" i="11" s="1"/>
  <c r="AS20" i="11"/>
  <c r="AT20" i="11" s="1"/>
  <c r="AS22" i="5"/>
  <c r="AT22" i="5" s="1"/>
  <c r="AS18" i="5"/>
  <c r="AT18" i="5" s="1"/>
  <c r="AS19" i="11"/>
  <c r="AT19" i="11" s="1"/>
  <c r="AS13" i="10"/>
  <c r="AT13" i="10" s="1"/>
  <c r="AS12" i="11"/>
  <c r="AT12" i="11" s="1"/>
  <c r="AS21" i="5"/>
  <c r="AT21" i="5" s="1"/>
  <c r="AS12" i="10"/>
  <c r="AT12" i="10" s="1"/>
  <c r="AH12" i="12"/>
  <c r="AI12" i="12" s="1"/>
  <c r="AS23" i="11"/>
  <c r="AT23" i="11" s="1"/>
  <c r="AS14" i="11"/>
  <c r="AT14" i="11" s="1"/>
  <c r="AH11" i="12"/>
  <c r="AI11" i="12" s="1"/>
  <c r="AS11" i="9"/>
  <c r="AT11" i="9" s="1"/>
  <c r="AU14" i="15" l="1"/>
  <c r="G29" i="14" s="1"/>
  <c r="F29" i="14"/>
  <c r="J29" i="14" s="1"/>
  <c r="AU12" i="15"/>
  <c r="G27" i="14" s="1"/>
  <c r="F27" i="14"/>
  <c r="J27" i="14" s="1"/>
  <c r="AT15" i="15"/>
  <c r="AF15" i="15"/>
  <c r="AV15" i="15" s="1"/>
  <c r="H30" i="14" s="1"/>
  <c r="AT10" i="15"/>
  <c r="AF10" i="15"/>
  <c r="AV10" i="15" s="1"/>
  <c r="H25" i="14" s="1"/>
  <c r="AT13" i="15"/>
  <c r="AF13" i="15"/>
  <c r="AV13" i="15" s="1"/>
  <c r="H28" i="14" s="1"/>
  <c r="AY17" i="5"/>
  <c r="AT17" i="5"/>
  <c r="AY17" i="11"/>
  <c r="AT17" i="11"/>
  <c r="AU11" i="15"/>
  <c r="G26" i="14" s="1"/>
  <c r="F26" i="14"/>
  <c r="J26" i="14" s="1"/>
  <c r="AY21" i="11"/>
  <c r="AT21" i="11"/>
  <c r="AZ21" i="11" s="1"/>
  <c r="BA21" i="11" s="1"/>
  <c r="AY10" i="10"/>
  <c r="AT10" i="10"/>
  <c r="AZ10" i="10" s="1"/>
  <c r="AY12" i="5"/>
  <c r="AT12" i="5"/>
  <c r="AU12" i="5" s="1"/>
  <c r="BB12" i="5" s="1"/>
  <c r="AY16" i="5"/>
  <c r="AT16" i="5"/>
  <c r="AZ16" i="5" s="1"/>
  <c r="AM13" i="12"/>
  <c r="AY13" i="11"/>
  <c r="AY15" i="9"/>
  <c r="AY13" i="5"/>
  <c r="AY11" i="10"/>
  <c r="AY15" i="11"/>
  <c r="AY11" i="5"/>
  <c r="AY10" i="5"/>
  <c r="AM10" i="12"/>
  <c r="AN10" i="12"/>
  <c r="AM11" i="12"/>
  <c r="AY14" i="11"/>
  <c r="AY21" i="5"/>
  <c r="AY22" i="11"/>
  <c r="AY14" i="5"/>
  <c r="AY12" i="9"/>
  <c r="AY10" i="9"/>
  <c r="AY11" i="11"/>
  <c r="AY10" i="11"/>
  <c r="AY11" i="9"/>
  <c r="AY23" i="11"/>
  <c r="AY18" i="5"/>
  <c r="AN13" i="12"/>
  <c r="AJ13" i="12"/>
  <c r="AP13" i="12" s="1"/>
  <c r="H16" i="14" s="1"/>
  <c r="AY19" i="5"/>
  <c r="AY20" i="5"/>
  <c r="AY14" i="9"/>
  <c r="AY15" i="5"/>
  <c r="AM12" i="12"/>
  <c r="AY12" i="11"/>
  <c r="AY19" i="11"/>
  <c r="AY13" i="9"/>
  <c r="AY16" i="11"/>
  <c r="AZ15" i="9"/>
  <c r="AU15" i="9"/>
  <c r="BB15" i="9" s="1"/>
  <c r="H8" i="14" s="1"/>
  <c r="AY12" i="10"/>
  <c r="AY13" i="10"/>
  <c r="AY22" i="5"/>
  <c r="AY20" i="11"/>
  <c r="AY18" i="11"/>
  <c r="AY23" i="5"/>
  <c r="AU10" i="15" l="1"/>
  <c r="G25" i="14" s="1"/>
  <c r="F25" i="14"/>
  <c r="AU17" i="11"/>
  <c r="BB17" i="11" s="1"/>
  <c r="H22" i="14" s="1"/>
  <c r="AZ17" i="11"/>
  <c r="AU15" i="15"/>
  <c r="G30" i="14" s="1"/>
  <c r="F30" i="14"/>
  <c r="J30" i="14" s="1"/>
  <c r="AO13" i="12"/>
  <c r="G16" i="14" s="1"/>
  <c r="F16" i="14"/>
  <c r="J16" i="14" s="1"/>
  <c r="AO10" i="12"/>
  <c r="G13" i="14" s="1"/>
  <c r="F13" i="14"/>
  <c r="J13" i="14" s="1"/>
  <c r="AZ17" i="5"/>
  <c r="AU17" i="5"/>
  <c r="BB17" i="5" s="1"/>
  <c r="H20" i="14" s="1"/>
  <c r="BA10" i="10"/>
  <c r="G9" i="14" s="1"/>
  <c r="F9" i="14"/>
  <c r="J9" i="14" s="1"/>
  <c r="BA16" i="5"/>
  <c r="G19" i="14" s="1"/>
  <c r="F19" i="14"/>
  <c r="J19" i="14" s="1"/>
  <c r="BA15" i="9"/>
  <c r="G8" i="14" s="1"/>
  <c r="F8" i="14"/>
  <c r="J8" i="14" s="1"/>
  <c r="AU13" i="15"/>
  <c r="G28" i="14" s="1"/>
  <c r="F28" i="14"/>
  <c r="J28" i="14" s="1"/>
  <c r="AZ12" i="5"/>
  <c r="BA12" i="5" s="1"/>
  <c r="AU10" i="10"/>
  <c r="BB10" i="10" s="1"/>
  <c r="H9" i="14" s="1"/>
  <c r="AU16" i="5"/>
  <c r="BB16" i="5" s="1"/>
  <c r="H19" i="14" s="1"/>
  <c r="AJ10" i="12"/>
  <c r="AP10" i="12" s="1"/>
  <c r="H13" i="14" s="1"/>
  <c r="AZ13" i="11"/>
  <c r="BA13" i="11" s="1"/>
  <c r="AU13" i="11"/>
  <c r="BB13" i="11" s="1"/>
  <c r="AU21" i="11"/>
  <c r="BB21" i="11" s="1"/>
  <c r="AZ15" i="11"/>
  <c r="BA15" i="11" s="1"/>
  <c r="AU15" i="11"/>
  <c r="BB15" i="11" s="1"/>
  <c r="AZ11" i="10"/>
  <c r="AU11" i="10"/>
  <c r="BB11" i="10" s="1"/>
  <c r="H10" i="14" s="1"/>
  <c r="AZ10" i="5"/>
  <c r="BA10" i="5" s="1"/>
  <c r="AU10" i="5"/>
  <c r="BB10" i="5" s="1"/>
  <c r="AU13" i="5"/>
  <c r="BB13" i="5" s="1"/>
  <c r="AZ13" i="5"/>
  <c r="BA13" i="5" s="1"/>
  <c r="AZ11" i="5"/>
  <c r="BA11" i="5" s="1"/>
  <c r="AU11" i="5"/>
  <c r="BB11" i="5" s="1"/>
  <c r="AZ23" i="5"/>
  <c r="BA23" i="5" s="1"/>
  <c r="AU23" i="5"/>
  <c r="BB23" i="5" s="1"/>
  <c r="AZ18" i="11"/>
  <c r="BA18" i="11" s="1"/>
  <c r="AU18" i="11"/>
  <c r="BB18" i="11" s="1"/>
  <c r="AZ20" i="11"/>
  <c r="BA20" i="11" s="1"/>
  <c r="AU20" i="11"/>
  <c r="BB20" i="11" s="1"/>
  <c r="AZ12" i="10"/>
  <c r="AU12" i="10"/>
  <c r="BB12" i="10" s="1"/>
  <c r="H11" i="14" s="1"/>
  <c r="AZ16" i="11"/>
  <c r="AU16" i="11"/>
  <c r="BB16" i="11" s="1"/>
  <c r="H21" i="14" s="1"/>
  <c r="AU13" i="9"/>
  <c r="BB13" i="9" s="1"/>
  <c r="H6" i="14" s="1"/>
  <c r="AZ13" i="9"/>
  <c r="AN12" i="12"/>
  <c r="AJ12" i="12"/>
  <c r="AP12" i="12" s="1"/>
  <c r="H15" i="14" s="1"/>
  <c r="AU15" i="5"/>
  <c r="BB15" i="5" s="1"/>
  <c r="AZ15" i="5"/>
  <c r="BA15" i="5" s="1"/>
  <c r="AZ18" i="5"/>
  <c r="BA18" i="5" s="1"/>
  <c r="AU18" i="5"/>
  <c r="BB18" i="5" s="1"/>
  <c r="AZ23" i="11"/>
  <c r="BA23" i="11" s="1"/>
  <c r="AU23" i="11"/>
  <c r="BB23" i="11" s="1"/>
  <c r="AZ11" i="11"/>
  <c r="BA11" i="11" s="1"/>
  <c r="AU11" i="11"/>
  <c r="BB11" i="11" s="1"/>
  <c r="AU12" i="9"/>
  <c r="BB12" i="9" s="1"/>
  <c r="H5" i="14" s="1"/>
  <c r="AZ12" i="9"/>
  <c r="AZ14" i="11"/>
  <c r="BA14" i="11" s="1"/>
  <c r="AU14" i="11"/>
  <c r="BB14" i="11" s="1"/>
  <c r="AN11" i="12"/>
  <c r="AJ11" i="12"/>
  <c r="AP11" i="12" s="1"/>
  <c r="H14" i="14" s="1"/>
  <c r="AZ10" i="11"/>
  <c r="BA10" i="11" s="1"/>
  <c r="AU10" i="11"/>
  <c r="BB10" i="11" s="1"/>
  <c r="AU22" i="5"/>
  <c r="BB22" i="5" s="1"/>
  <c r="AZ22" i="5"/>
  <c r="BA22" i="5" s="1"/>
  <c r="AU12" i="11"/>
  <c r="BB12" i="11" s="1"/>
  <c r="AZ12" i="11"/>
  <c r="BA12" i="11" s="1"/>
  <c r="AZ14" i="9"/>
  <c r="AU14" i="9"/>
  <c r="BB14" i="9" s="1"/>
  <c r="H7" i="14" s="1"/>
  <c r="AU20" i="5"/>
  <c r="BB20" i="5" s="1"/>
  <c r="AZ20" i="5"/>
  <c r="BA20" i="5" s="1"/>
  <c r="AU19" i="5"/>
  <c r="BB19" i="5" s="1"/>
  <c r="AZ19" i="5"/>
  <c r="BA19" i="5" s="1"/>
  <c r="AU11" i="9"/>
  <c r="BB11" i="9" s="1"/>
  <c r="H4" i="14" s="1"/>
  <c r="AZ11" i="9"/>
  <c r="AU14" i="5"/>
  <c r="BB14" i="5" s="1"/>
  <c r="AZ14" i="5"/>
  <c r="BA14" i="5" s="1"/>
  <c r="AU21" i="5"/>
  <c r="BB21" i="5" s="1"/>
  <c r="AZ21" i="5"/>
  <c r="BA21" i="5" s="1"/>
  <c r="AZ13" i="10"/>
  <c r="AU13" i="10"/>
  <c r="BB13" i="10" s="1"/>
  <c r="H12" i="14" s="1"/>
  <c r="AZ19" i="11"/>
  <c r="BA19" i="11" s="1"/>
  <c r="AU19" i="11"/>
  <c r="BB19" i="11" s="1"/>
  <c r="AZ10" i="9"/>
  <c r="AU10" i="9"/>
  <c r="BB10" i="9" s="1"/>
  <c r="H3" i="14" s="1"/>
  <c r="AZ22" i="11"/>
  <c r="BA22" i="11" s="1"/>
  <c r="AU22" i="11"/>
  <c r="BB22" i="11" s="1"/>
  <c r="BA12" i="9" l="1"/>
  <c r="G5" i="14" s="1"/>
  <c r="F5" i="14"/>
  <c r="J5" i="14" s="1"/>
  <c r="BA13" i="9"/>
  <c r="G6" i="14" s="1"/>
  <c r="F6" i="14"/>
  <c r="J6" i="14" s="1"/>
  <c r="BA13" i="10"/>
  <c r="G12" i="14" s="1"/>
  <c r="F12" i="14"/>
  <c r="J12" i="14" s="1"/>
  <c r="BA12" i="10"/>
  <c r="G11" i="14" s="1"/>
  <c r="F11" i="14"/>
  <c r="J11" i="14" s="1"/>
  <c r="BA11" i="9"/>
  <c r="G4" i="14" s="1"/>
  <c r="F4" i="14"/>
  <c r="J4" i="14" s="1"/>
  <c r="BA17" i="11"/>
  <c r="G22" i="14" s="1"/>
  <c r="F22" i="14"/>
  <c r="J22" i="14" s="1"/>
  <c r="BA10" i="9"/>
  <c r="G3" i="14" s="1"/>
  <c r="F3" i="14"/>
  <c r="J3" i="14" s="1"/>
  <c r="AO12" i="12"/>
  <c r="G15" i="14" s="1"/>
  <c r="F15" i="14"/>
  <c r="J15" i="14" s="1"/>
  <c r="AO11" i="12"/>
  <c r="G14" i="14" s="1"/>
  <c r="F14" i="14"/>
  <c r="J14" i="14" s="1"/>
  <c r="BA16" i="11"/>
  <c r="G21" i="14" s="1"/>
  <c r="F21" i="14"/>
  <c r="J21" i="14" s="1"/>
  <c r="BA17" i="5"/>
  <c r="G20" i="14" s="1"/>
  <c r="F20" i="14"/>
  <c r="J20" i="14" s="1"/>
  <c r="BA14" i="9"/>
  <c r="G7" i="14" s="1"/>
  <c r="F7" i="14"/>
  <c r="J7" i="14" s="1"/>
  <c r="BA11" i="10"/>
  <c r="G10" i="14" s="1"/>
  <c r="F10" i="14"/>
  <c r="J10" i="14" s="1"/>
</calcChain>
</file>

<file path=xl/comments1.xml><?xml version="1.0" encoding="utf-8"?>
<comments xmlns="http://schemas.openxmlformats.org/spreadsheetml/2006/main">
  <authors>
    <author>ADMIN</author>
  </authors>
  <commentList>
    <comment ref="K5" author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Facturado</t>
        </r>
      </text>
    </comment>
  </commentList>
</comments>
</file>

<file path=xl/comments2.xml><?xml version="1.0" encoding="utf-8"?>
<comments xmlns="http://schemas.openxmlformats.org/spreadsheetml/2006/main">
  <authors>
    <author>David Aguilera Cupido</author>
  </authors>
  <commentList>
    <comment ref="AO7" authorId="0">
      <text>
        <r>
          <rPr>
            <b/>
            <sz val="9"/>
            <color indexed="81"/>
            <rFont val="Tahoma"/>
            <family val="2"/>
          </rPr>
          <t>David Aguilera Cupido:</t>
        </r>
        <r>
          <rPr>
            <sz val="9"/>
            <color indexed="81"/>
            <rFont val="Tahoma"/>
            <family val="2"/>
          </rPr>
          <t xml:space="preserve">
Servicio contratado con empresa de transporte</t>
        </r>
      </text>
    </comment>
  </commentList>
</comments>
</file>

<file path=xl/sharedStrings.xml><?xml version="1.0" encoding="utf-8"?>
<sst xmlns="http://schemas.openxmlformats.org/spreadsheetml/2006/main" count="1157" uniqueCount="195">
  <si>
    <t>Cliente</t>
  </si>
  <si>
    <t>D.1</t>
  </si>
  <si>
    <t>D.2</t>
  </si>
  <si>
    <t>D.3</t>
  </si>
  <si>
    <t>D.4</t>
  </si>
  <si>
    <t>D.5</t>
  </si>
  <si>
    <t>D.6</t>
  </si>
  <si>
    <t>D.7</t>
  </si>
  <si>
    <t>≤</t>
  </si>
  <si>
    <t>&lt;</t>
  </si>
  <si>
    <t>C</t>
  </si>
  <si>
    <t>€/MWh/día/año</t>
  </si>
  <si>
    <t>€/MWh</t>
  </si>
  <si>
    <t>Trimestral</t>
  </si>
  <si>
    <t>Mensual</t>
  </si>
  <si>
    <t>Diario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</si>
  <si>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</si>
  <si>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</si>
  <si>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</si>
  <si>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</si>
  <si>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</si>
  <si>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</si>
  <si>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</si>
  <si>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</si>
  <si>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</si>
  <si>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</si>
  <si>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</si>
  <si>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</si>
  <si>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Mensuales</t>
  </si>
  <si>
    <t>Trimestrales</t>
  </si>
  <si>
    <t>Diarios</t>
  </si>
  <si>
    <t>D.8</t>
  </si>
  <si>
    <t>D.9</t>
  </si>
  <si>
    <t>D.10</t>
  </si>
  <si>
    <t>D.11</t>
  </si>
  <si>
    <t>€/Cliente y mes</t>
  </si>
  <si>
    <t>Nº Clientes</t>
  </si>
  <si>
    <t>MWh/día</t>
  </si>
  <si>
    <t>Fc</t>
  </si>
  <si>
    <t>Tamaño Medio</t>
  </si>
  <si>
    <r>
      <t xml:space="preserve">Cuadro 27 </t>
    </r>
    <r>
      <rPr>
        <sz val="11"/>
        <color theme="1"/>
        <rFont val="Arial Narrow"/>
        <family val="2"/>
      </rPr>
      <t xml:space="preserve"> Pg, 69</t>
    </r>
  </si>
  <si>
    <t>% Clientes</t>
  </si>
  <si>
    <t>% MWh</t>
  </si>
  <si>
    <t>Término Variable</t>
  </si>
  <si>
    <t>Término de Capacidad</t>
  </si>
  <si>
    <r>
      <rPr>
        <b/>
        <sz val="11"/>
        <color theme="1"/>
        <rFont val="Arial Narrow"/>
        <family val="2"/>
      </rPr>
      <t>Cuadros 8 y 11</t>
    </r>
    <r>
      <rPr>
        <sz val="11"/>
        <color theme="1"/>
        <rFont val="Arial Narrow"/>
        <family val="2"/>
      </rPr>
      <t xml:space="preserve"> Pg. 35 y 37</t>
    </r>
  </si>
  <si>
    <t>Multiplicadores a corto plazo</t>
  </si>
  <si>
    <t>PEAJES DE REDES LOCALES</t>
  </si>
  <si>
    <r>
      <rPr>
        <b/>
        <sz val="11"/>
        <color theme="1"/>
        <rFont val="Arial Narrow"/>
        <family val="2"/>
      </rPr>
      <t>Cuadro 45</t>
    </r>
    <r>
      <rPr>
        <sz val="11"/>
        <color theme="1"/>
        <rFont val="Arial Narrow"/>
        <family val="2"/>
      </rPr>
      <t xml:space="preserve"> Pg. 87</t>
    </r>
  </si>
  <si>
    <t>TF Capacidad</t>
  </si>
  <si>
    <t>TF Cliente</t>
  </si>
  <si>
    <t>TV Volumen</t>
  </si>
  <si>
    <t>Facturación Media</t>
  </si>
  <si>
    <t>%</t>
  </si>
  <si>
    <t>TF</t>
  </si>
  <si>
    <r>
      <rPr>
        <b/>
        <sz val="11"/>
        <color theme="1"/>
        <rFont val="Arial Narrow"/>
        <family val="2"/>
      </rPr>
      <t>Cuadro 71</t>
    </r>
    <r>
      <rPr>
        <sz val="11"/>
        <color theme="1"/>
        <rFont val="Arial Narrow"/>
        <family val="2"/>
      </rPr>
      <t xml:space="preserve"> Pg. 117</t>
    </r>
  </si>
  <si>
    <t>c€/kWh/día/mes</t>
  </si>
  <si>
    <t>c€/kWh</t>
  </si>
  <si>
    <t>€/MWh/día/mes</t>
  </si>
  <si>
    <t>PEAJE DE REGASIFICACIÓN</t>
  </si>
  <si>
    <r>
      <rPr>
        <b/>
        <sz val="11"/>
        <color theme="1"/>
        <rFont val="Arial Narrow"/>
        <family val="2"/>
      </rPr>
      <t>Cuadro 12</t>
    </r>
    <r>
      <rPr>
        <sz val="11"/>
        <color theme="1"/>
        <rFont val="Arial Narrow"/>
        <family val="2"/>
      </rPr>
      <t xml:space="preserve"> Pg. 40</t>
    </r>
  </si>
  <si>
    <r>
      <rPr>
        <b/>
        <sz val="11"/>
        <color theme="1"/>
        <rFont val="Arial Narrow"/>
        <family val="2"/>
      </rPr>
      <t>Cuadro 80</t>
    </r>
    <r>
      <rPr>
        <sz val="11"/>
        <color theme="1"/>
        <rFont val="Arial Narrow"/>
        <family val="2"/>
      </rPr>
      <t xml:space="preserve"> Pg. 122</t>
    </r>
  </si>
  <si>
    <t>Mes</t>
  </si>
  <si>
    <t>Multiplicadores a corto plazo + Estacionalidad</t>
  </si>
  <si>
    <r>
      <rPr>
        <b/>
        <sz val="11"/>
        <color theme="1"/>
        <rFont val="Arial Narrow"/>
        <family val="2"/>
      </rPr>
      <t xml:space="preserve">Cuadro 13, 14, 15 </t>
    </r>
    <r>
      <rPr>
        <sz val="11"/>
        <color theme="1"/>
        <rFont val="Arial Narrow"/>
        <family val="2"/>
      </rPr>
      <t xml:space="preserve"> Pg. 49, 50</t>
    </r>
  </si>
  <si>
    <t>3.1</t>
  </si>
  <si>
    <t>3.2</t>
  </si>
  <si>
    <t>3.3</t>
  </si>
  <si>
    <t>3.4</t>
  </si>
  <si>
    <t>3.5</t>
  </si>
  <si>
    <t>2.1</t>
  </si>
  <si>
    <t>2.2</t>
  </si>
  <si>
    <t>2.3</t>
  </si>
  <si>
    <t>2.4</t>
  </si>
  <si>
    <t>2.5</t>
  </si>
  <si>
    <t>2.6</t>
  </si>
  <si>
    <t>SALIDA DEL PVB A CONSUMIDOR FINAL</t>
  </si>
  <si>
    <t>ACCESO A PVB RED TRANSPORTE</t>
  </si>
  <si>
    <t>Coeficiente</t>
  </si>
  <si>
    <t>GNL</t>
  </si>
  <si>
    <t>Tamaño MWh/año</t>
  </si>
  <si>
    <t>PEAJE DE CARGA EN CISTERNAS</t>
  </si>
  <si>
    <t>Entrada</t>
  </si>
  <si>
    <t>Salida</t>
  </si>
  <si>
    <t>Media Ponderada</t>
  </si>
  <si>
    <t>Nacional</t>
  </si>
  <si>
    <t>Consumo</t>
  </si>
  <si>
    <t>MWh/año</t>
  </si>
  <si>
    <t>Capacidad</t>
  </si>
  <si>
    <t>Peaje</t>
  </si>
  <si>
    <t>TF Qd</t>
  </si>
  <si>
    <t>TV</t>
  </si>
  <si>
    <t>Total</t>
  </si>
  <si>
    <t>€/año</t>
  </si>
  <si>
    <t>Regasif.</t>
  </si>
  <si>
    <t>Entrada PVB</t>
  </si>
  <si>
    <t>Salida PVB</t>
  </si>
  <si>
    <t>€/mes</t>
  </si>
  <si>
    <t>ATR</t>
  </si>
  <si>
    <t>Suma Peajes</t>
  </si>
  <si>
    <t>PEAJES ACTUALES</t>
  </si>
  <si>
    <t>PEAJES CIRCULAR CNMC</t>
  </si>
  <si>
    <r>
      <t xml:space="preserve">% </t>
    </r>
    <r>
      <rPr>
        <b/>
        <sz val="11"/>
        <color rgb="FFC00000"/>
        <rFont val="Symbol"/>
        <family val="1"/>
        <charset val="2"/>
      </rPr>
      <t>D</t>
    </r>
  </si>
  <si>
    <r>
      <t>D</t>
    </r>
    <r>
      <rPr>
        <b/>
        <sz val="11"/>
        <color rgb="FFC00000"/>
        <rFont val="Arial Narrow"/>
        <family val="2"/>
      </rPr>
      <t xml:space="preserve"> €/año</t>
    </r>
  </si>
  <si>
    <t>Red Local</t>
  </si>
  <si>
    <t>Memoria CNMC</t>
  </si>
  <si>
    <t>Consumo Nocturno</t>
  </si>
  <si>
    <t>Carga Cisternas</t>
  </si>
  <si>
    <t>km hasta Planta</t>
  </si>
  <si>
    <t>Transporte GNL Cisternas por carretera</t>
  </si>
  <si>
    <r>
      <t>€ / Tm</t>
    </r>
    <r>
      <rPr>
        <vertAlign val="subscript"/>
        <sz val="11"/>
        <color theme="0"/>
        <rFont val="Arial Narrow"/>
        <family val="2"/>
      </rPr>
      <t>GNL</t>
    </r>
    <r>
      <rPr>
        <sz val="11"/>
        <color theme="0"/>
        <rFont val="Arial Narrow"/>
        <family val="2"/>
      </rPr>
      <t xml:space="preserve"> / km</t>
    </r>
  </si>
  <si>
    <t>PCS GNL</t>
  </si>
  <si>
    <t>MWh/Tm</t>
  </si>
  <si>
    <t>€/MWh/km</t>
  </si>
  <si>
    <t>Suma Costes PS GNL</t>
  </si>
  <si>
    <t>PLANTA SATÉLITE MONOCLIENTE</t>
  </si>
  <si>
    <r>
      <rPr>
        <b/>
        <sz val="11"/>
        <color theme="1"/>
        <rFont val="Arial Narrow"/>
        <family val="2"/>
      </rPr>
      <t>Cuadro 70</t>
    </r>
    <r>
      <rPr>
        <sz val="11"/>
        <color theme="1"/>
        <rFont val="Arial Narrow"/>
        <family val="2"/>
      </rPr>
      <t xml:space="preserve"> Pg. 116</t>
    </r>
  </si>
  <si>
    <t>TIPOLOGÍA DE CLIENTES SEGÚN PEAJES VIGENTES</t>
  </si>
  <si>
    <t>INFORME DE SUPERVISIÓN DEL MERCADO DE GAS NATURAL EN ESPAÑA. AÑO 2018. IS/DE/007/19</t>
  </si>
  <si>
    <r>
      <t>€ / MWh</t>
    </r>
    <r>
      <rPr>
        <sz val="11"/>
        <rFont val="Arial Narrow"/>
        <family val="2"/>
      </rPr>
      <t xml:space="preserve"> / km</t>
    </r>
  </si>
  <si>
    <t>Coste</t>
  </si>
  <si>
    <r>
      <t xml:space="preserve">PVP </t>
    </r>
    <r>
      <rPr>
        <sz val="11"/>
        <color theme="1"/>
        <rFont val="Arial Narrow"/>
        <family val="2"/>
      </rPr>
      <t>(Precio a comercializador)</t>
    </r>
  </si>
  <si>
    <t>TRANSPORTE DE CISTERNAS POR CARRETERA</t>
  </si>
  <si>
    <t>Sobre Total</t>
  </si>
  <si>
    <t>Sobre Grupo Tarifario</t>
  </si>
  <si>
    <t>TIPOLOGÍA DE CLIENTES 2020</t>
  </si>
  <si>
    <t>PEAJE DE ENTRADA/SALIDA A LA RED DE TRANSPORTE TRONCAL</t>
  </si>
  <si>
    <t>D1</t>
  </si>
  <si>
    <t>D2</t>
  </si>
  <si>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€/MWh</t>
    </r>
  </si>
  <si>
    <t>PEAJE PARA RECUPERACIÓN DE OTROS COSTES DE REGASIFICACIÓN</t>
  </si>
  <si>
    <r>
      <rPr>
        <b/>
        <sz val="11"/>
        <color theme="1"/>
        <rFont val="Arial Narrow"/>
        <family val="2"/>
      </rPr>
      <t>Cuadro 82</t>
    </r>
    <r>
      <rPr>
        <sz val="11"/>
        <color theme="1"/>
        <rFont val="Arial Narrow"/>
        <family val="2"/>
      </rPr>
      <t xml:space="preserve"> Pg. 124</t>
    </r>
  </si>
  <si>
    <t>Otros Regasif.</t>
  </si>
  <si>
    <t>Entrada Transp.</t>
  </si>
  <si>
    <t>Salida Transp.</t>
  </si>
  <si>
    <t>Tpte. Carretera</t>
  </si>
  <si>
    <t>CLIENTES ACOGIDOS A PEAJE 3.5 CON CONSUMO NOCTURNO</t>
  </si>
  <si>
    <t>CLIENTES ACOGIDOS A PEAJE 3.5 SIN CONSUMO NOCTURNO</t>
  </si>
  <si>
    <t>Años</t>
  </si>
  <si>
    <t>Total €</t>
  </si>
  <si>
    <t>Impacto anual promedio</t>
  </si>
  <si>
    <t>Periodo</t>
  </si>
  <si>
    <t>3.5 sin consumo nocturno</t>
  </si>
  <si>
    <t>3.5 con 35% cons. Nocturno</t>
  </si>
  <si>
    <t>3.1 PS GNL de distribución</t>
  </si>
  <si>
    <t>3.2 PS GNL de distribución</t>
  </si>
  <si>
    <t>3.3 PS GNL de distribución</t>
  </si>
  <si>
    <t>3.4 PS GNL de distribución</t>
  </si>
  <si>
    <t>2.1 Vs PS Monocliente</t>
  </si>
  <si>
    <t>2.2 Vs PS Monocliente</t>
  </si>
  <si>
    <t>2.3 Vs PS Monocliente</t>
  </si>
  <si>
    <t>2.4 Vs PS Monocliente</t>
  </si>
  <si>
    <t>2.5 Vs PS Monocliente</t>
  </si>
  <si>
    <t>Peaje 1</t>
  </si>
  <si>
    <t>Peaje 2</t>
  </si>
  <si>
    <t>oct-2020 a oct-2026</t>
  </si>
  <si>
    <t>2.6 Vs PS Monocliente</t>
  </si>
  <si>
    <t>RED DE TRANSPORTE</t>
  </si>
  <si>
    <t>20-21</t>
  </si>
  <si>
    <t>21-22</t>
  </si>
  <si>
    <t>22-23</t>
  </si>
  <si>
    <t>23-24</t>
  </si>
  <si>
    <t>24-25</t>
  </si>
  <si>
    <t>25-26</t>
  </si>
  <si>
    <t>Promedio</t>
  </si>
  <si>
    <t>ENTRADA</t>
  </si>
  <si>
    <t>€/MWh/año</t>
  </si>
  <si>
    <t xml:space="preserve">SALIDA </t>
  </si>
  <si>
    <t>ENTRADA-SALIDA</t>
  </si>
  <si>
    <t>REDES LOCALES</t>
  </si>
  <si>
    <t>FIJOS</t>
  </si>
  <si>
    <t>€/cliente/mes</t>
  </si>
  <si>
    <t>D3</t>
  </si>
  <si>
    <t>D4</t>
  </si>
  <si>
    <t>D5</t>
  </si>
  <si>
    <t>D6</t>
  </si>
  <si>
    <t>D7</t>
  </si>
  <si>
    <t>€/MWh/día</t>
  </si>
  <si>
    <t>D8</t>
  </si>
  <si>
    <t>D9</t>
  </si>
  <si>
    <t>D10</t>
  </si>
  <si>
    <t>D11</t>
  </si>
  <si>
    <t>VARIABLES</t>
  </si>
  <si>
    <t>REGASIFICACION</t>
  </si>
  <si>
    <t>OTROS COSTES DE REGASIFICACIÓN</t>
  </si>
  <si>
    <t>CARGA CISTERNAS</t>
  </si>
  <si>
    <t>Δ €/MWh Promedio</t>
  </si>
  <si>
    <t>% Δ ATR</t>
  </si>
  <si>
    <t>Nuevo Peaje</t>
  </si>
  <si>
    <t>PROMEDIOS PEAJES CIRCULAR (PERIODO 2020 2026)</t>
  </si>
  <si>
    <t>CLIENTES ACOGIDOS A PEAJES GRUPO 2 TAMAÑO MEDIO 2018 Vs. OPCIÓN PLANTA SATÉLITE MONOCLIENTE</t>
  </si>
  <si>
    <t>ANÁLISIS IMPACTO EN CLIENTES (PROMEDI PEAJES PERIODO 2020-2026):</t>
  </si>
  <si>
    <t>CLIENTES ACOGIDOS A PEAJES GRUPO 2 (TAMAÑO MEDIO 2018)</t>
  </si>
  <si>
    <t>CLIENTES ACOGIDOS A PEAJES GRUPO 3 (EXCEPTO 3.5). TAMAÑO MEDIO 2018</t>
  </si>
  <si>
    <t>CLIENTES ACOGIDOS A PEAJES GRUPO 3 (EXCEPTO 3.5) ALIMENTADOS DESDE PLANTA DE GNL CONECTADA A RED. TAMAÑO MEDIO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</si>
</sst>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%"/>
    <numFmt numFmtId="165" formatCode="_-* #,##0\ &quot;€&quot;_-;\-* #,##0\ &quot;€&quot;_-;_-* &quot;-&quot;??\ &quot;€&quot;_-;_-@_-"/>
    <numFmt numFmtId="166" formatCode="0.000%"/>
    <numFmt numFmtId="167" formatCode="#,##0.000"/>
    <numFmt numFmtId="168" formatCode="0.0000"/>
    <numFmt numFmtId="169" formatCode="0.000"/>
    <numFmt numFmtId="170" formatCode="#,##0.0000"/>
    <numFmt numFmtId="171" formatCode="#,##0.000000"/>
    <numFmt numFmtId="173" formatCode="#,##0.00\ &quot;€&quot;"/>
    <numFmt numFmtId="174" formatCode="_-* #,##0\ _€_-;\-* #,##0\ _€_-;_-* &quot;-&quot;??\ _€_-;_-@_-"/>
    <numFmt numFmtId="175" formatCode="0.0000000"/>
    <numFmt numFmtId="176" formatCode="0.00000"/>
  </numFmts>
  <fonts count="29">
    <font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11"/>
      <color rgb="FFC00000"/>
      <name val="Arial Narrow"/>
      <family val="2"/>
    </font>
    <font>
      <sz val="11"/>
      <color rgb="FF0070C0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theme="0"/>
      <name val="Arial Narrow"/>
      <family val="2"/>
    </font>
    <font>
      <sz val="10"/>
      <color rgb="FF0070C0"/>
      <name val="Arial Narrow"/>
      <family val="2"/>
    </font>
    <font>
      <b/>
      <sz val="10"/>
      <color theme="0"/>
      <name val="Arial Narrow"/>
      <family val="2"/>
    </font>
    <font>
      <sz val="11"/>
      <name val="Arial Narrow"/>
      <family val="2"/>
    </font>
    <font>
      <b/>
      <sz val="11"/>
      <color theme="5"/>
      <name val="Arial Narrow"/>
      <family val="2"/>
    </font>
    <font>
      <b/>
      <sz val="11"/>
      <color rgb="FF0070C0"/>
      <name val="Arial Narrow"/>
      <family val="2"/>
    </font>
    <font>
      <sz val="11"/>
      <color theme="5"/>
      <name val="Arial Narrow"/>
      <family val="2"/>
    </font>
    <font>
      <b/>
      <sz val="11"/>
      <color rgb="FFC00000"/>
      <name val="Symbol"/>
      <family val="1"/>
      <charset val="2"/>
    </font>
    <font>
      <vertAlign val="subscript"/>
      <sz val="11"/>
      <color theme="0"/>
      <name val="Arial Narrow"/>
      <family val="2"/>
    </font>
    <font>
      <sz val="11"/>
      <color theme="0"/>
      <name val="Arial Narrow"/>
      <family val="2"/>
    </font>
    <font>
      <sz val="9"/>
      <color theme="1"/>
      <name val="Arial Narrow"/>
      <family val="2"/>
    </font>
    <font>
      <sz val="10"/>
      <name val="Arial Narrow"/>
      <family val="2"/>
    </font>
    <font>
      <b/>
      <sz val="11"/>
      <color rgb="FFFF0000"/>
      <name val="Arial Narrow"/>
      <family val="2"/>
    </font>
    <font>
      <sz val="8"/>
      <name val="Arial Narrow"/>
      <family val="2"/>
    </font>
    <font>
      <sz val="11"/>
      <color theme="1"/>
      <name val="Symbol"/>
      <family val="1"/>
      <charset val="2"/>
    </font>
    <font>
      <sz val="11"/>
      <color theme="1"/>
      <name val="Arial Narrow"/>
      <family val="1"/>
      <charset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sz val="11"/>
      <color theme="1"/>
      <name val="Calibri"/>
      <family val="2"/>
      <scheme val="minor"/>
    </font>
    <font>
      <b/>
      <sz val="14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0" borderId="0"/>
  </cellStyleXfs>
  <cellXfs count="282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164" fontId="4" fillId="0" borderId="0" xfId="2" applyNumberFormat="1" applyFont="1" applyAlignment="1">
      <alignment horizontal="center"/>
    </xf>
    <xf numFmtId="164" fontId="3" fillId="0" borderId="1" xfId="2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5" xfId="0" applyFont="1" applyBorder="1" applyAlignment="1">
      <alignment horizontal="right"/>
    </xf>
    <xf numFmtId="3" fontId="3" fillId="0" borderId="5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10" fontId="4" fillId="0" borderId="0" xfId="2" applyNumberFormat="1" applyFont="1" applyAlignment="1">
      <alignment horizontal="center"/>
    </xf>
    <xf numFmtId="166" fontId="3" fillId="0" borderId="1" xfId="2" applyNumberFormat="1" applyFont="1" applyBorder="1" applyAlignment="1">
      <alignment horizontal="center"/>
    </xf>
    <xf numFmtId="3" fontId="3" fillId="5" borderId="5" xfId="0" applyNumberFormat="1" applyFont="1" applyFill="1" applyBorder="1" applyAlignment="1">
      <alignment horizontal="right"/>
    </xf>
    <xf numFmtId="0" fontId="0" fillId="5" borderId="6" xfId="0" applyFill="1" applyBorder="1" applyAlignment="1">
      <alignment horizontal="center"/>
    </xf>
    <xf numFmtId="3" fontId="3" fillId="5" borderId="7" xfId="0" applyNumberFormat="1" applyFont="1" applyFill="1" applyBorder="1" applyAlignment="1">
      <alignment horizontal="right"/>
    </xf>
    <xf numFmtId="164" fontId="3" fillId="5" borderId="1" xfId="2" applyNumberFormat="1" applyFont="1" applyFill="1" applyBorder="1" applyAlignment="1">
      <alignment horizontal="center"/>
    </xf>
    <xf numFmtId="166" fontId="3" fillId="5" borderId="1" xfId="2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right" indent="1"/>
    </xf>
    <xf numFmtId="3" fontId="10" fillId="5" borderId="1" xfId="0" applyNumberFormat="1" applyFont="1" applyFill="1" applyBorder="1" applyAlignment="1">
      <alignment horizontal="right" indent="1"/>
    </xf>
    <xf numFmtId="0" fontId="6" fillId="0" borderId="1" xfId="0" applyFont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70" fontId="6" fillId="0" borderId="1" xfId="0" applyNumberFormat="1" applyFont="1" applyBorder="1" applyAlignment="1">
      <alignment horizontal="right" indent="1"/>
    </xf>
    <xf numFmtId="167" fontId="10" fillId="0" borderId="1" xfId="0" applyNumberFormat="1" applyFont="1" applyBorder="1" applyAlignment="1">
      <alignment horizontal="right" indent="1"/>
    </xf>
    <xf numFmtId="3" fontId="4" fillId="0" borderId="0" xfId="0" applyNumberFormat="1" applyFont="1" applyAlignment="1">
      <alignment horizontal="right" indent="1"/>
    </xf>
    <xf numFmtId="167" fontId="12" fillId="0" borderId="1" xfId="0" applyNumberFormat="1" applyFont="1" applyBorder="1" applyAlignment="1">
      <alignment horizontal="right" indent="1"/>
    </xf>
    <xf numFmtId="0" fontId="0" fillId="0" borderId="6" xfId="0" applyFill="1" applyBorder="1" applyAlignment="1">
      <alignment horizontal="center"/>
    </xf>
    <xf numFmtId="0" fontId="6" fillId="0" borderId="1" xfId="0" quotePrefix="1" applyFont="1" applyFill="1" applyBorder="1" applyAlignment="1">
      <alignment horizontal="right" indent="1"/>
    </xf>
    <xf numFmtId="167" fontId="6" fillId="0" borderId="1" xfId="0" applyNumberFormat="1" applyFont="1" applyFill="1" applyBorder="1" applyAlignment="1">
      <alignment horizontal="right" indent="1"/>
    </xf>
    <xf numFmtId="169" fontId="6" fillId="0" borderId="1" xfId="0" applyNumberFormat="1" applyFont="1" applyFill="1" applyBorder="1" applyAlignment="1">
      <alignment horizontal="right" indent="1"/>
    </xf>
    <xf numFmtId="167" fontId="0" fillId="0" borderId="1" xfId="0" applyNumberFormat="1" applyFill="1" applyBorder="1" applyAlignment="1">
      <alignment horizontal="right" indent="1"/>
    </xf>
    <xf numFmtId="164" fontId="0" fillId="0" borderId="1" xfId="2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right" indent="1"/>
    </xf>
    <xf numFmtId="0" fontId="0" fillId="0" borderId="2" xfId="0" applyBorder="1"/>
    <xf numFmtId="0" fontId="0" fillId="0" borderId="8" xfId="0" applyBorder="1"/>
    <xf numFmtId="0" fontId="0" fillId="0" borderId="9" xfId="0" applyBorder="1"/>
    <xf numFmtId="4" fontId="6" fillId="0" borderId="1" xfId="0" applyNumberFormat="1" applyFont="1" applyFill="1" applyBorder="1" applyAlignment="1">
      <alignment horizontal="right" indent="1"/>
    </xf>
    <xf numFmtId="0" fontId="0" fillId="0" borderId="4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6" fillId="0" borderId="4" xfId="0" quotePrefix="1" applyFont="1" applyFill="1" applyBorder="1" applyAlignment="1">
      <alignment horizontal="right" indent="1"/>
    </xf>
    <xf numFmtId="0" fontId="6" fillId="0" borderId="4" xfId="0" applyFont="1" applyFill="1" applyBorder="1" applyAlignment="1">
      <alignment horizontal="right" indent="1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6" fillId="0" borderId="10" xfId="0" quotePrefix="1" applyFont="1" applyFill="1" applyBorder="1" applyAlignment="1">
      <alignment horizontal="right" indent="1"/>
    </xf>
    <xf numFmtId="0" fontId="6" fillId="0" borderId="10" xfId="0" applyFont="1" applyFill="1" applyBorder="1" applyAlignment="1">
      <alignment horizontal="right" indent="1"/>
    </xf>
    <xf numFmtId="0" fontId="3" fillId="0" borderId="5" xfId="0" applyFont="1" applyFill="1" applyBorder="1" applyAlignment="1">
      <alignment horizontal="center"/>
    </xf>
    <xf numFmtId="3" fontId="3" fillId="0" borderId="5" xfId="0" applyNumberFormat="1" applyFont="1" applyFill="1" applyBorder="1" applyAlignment="1">
      <alignment horizontal="center"/>
    </xf>
    <xf numFmtId="3" fontId="3" fillId="0" borderId="12" xfId="0" applyNumberFormat="1" applyFont="1" applyFill="1" applyBorder="1" applyAlignment="1">
      <alignment horizontal="center"/>
    </xf>
    <xf numFmtId="3" fontId="3" fillId="0" borderId="9" xfId="0" applyNumberFormat="1" applyFont="1" applyFill="1" applyBorder="1" applyAlignment="1">
      <alignment horizontal="center"/>
    </xf>
    <xf numFmtId="3" fontId="3" fillId="0" borderId="7" xfId="0" applyNumberFormat="1" applyFont="1" applyFill="1" applyBorder="1" applyAlignment="1">
      <alignment horizontal="center"/>
    </xf>
    <xf numFmtId="3" fontId="3" fillId="0" borderId="14" xfId="0" applyNumberFormat="1" applyFont="1" applyFill="1" applyBorder="1" applyAlignment="1">
      <alignment horizontal="center"/>
    </xf>
    <xf numFmtId="3" fontId="3" fillId="0" borderId="8" xfId="0" applyNumberFormat="1" applyFont="1" applyFill="1" applyBorder="1" applyAlignment="1">
      <alignment horizontal="center"/>
    </xf>
    <xf numFmtId="170" fontId="12" fillId="0" borderId="1" xfId="0" applyNumberFormat="1" applyFont="1" applyBorder="1" applyAlignment="1">
      <alignment horizontal="right" indent="1"/>
    </xf>
    <xf numFmtId="3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3" fontId="9" fillId="6" borderId="15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3" fontId="0" fillId="7" borderId="9" xfId="0" applyNumberFormat="1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5" fontId="0" fillId="7" borderId="8" xfId="1" applyNumberFormat="1" applyFont="1" applyFill="1" applyBorder="1" applyAlignment="1">
      <alignment horizontal="center" vertical="center"/>
    </xf>
    <xf numFmtId="165" fontId="0" fillId="0" borderId="0" xfId="1" applyNumberFormat="1" applyFont="1" applyAlignment="1">
      <alignment vertical="center"/>
    </xf>
    <xf numFmtId="2" fontId="13" fillId="3" borderId="1" xfId="0" applyNumberFormat="1" applyFont="1" applyFill="1" applyBorder="1" applyAlignment="1">
      <alignment vertical="center"/>
    </xf>
    <xf numFmtId="0" fontId="9" fillId="6" borderId="11" xfId="0" applyFont="1" applyFill="1" applyBorder="1" applyAlignment="1">
      <alignment horizontal="center" vertical="center"/>
    </xf>
    <xf numFmtId="0" fontId="9" fillId="6" borderId="9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165" fontId="9" fillId="6" borderId="11" xfId="1" applyNumberFormat="1" applyFont="1" applyFill="1" applyBorder="1" applyAlignment="1">
      <alignment horizontal="center" vertical="center"/>
    </xf>
    <xf numFmtId="165" fontId="9" fillId="6" borderId="8" xfId="1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67" fontId="15" fillId="0" borderId="1" xfId="0" applyNumberFormat="1" applyFont="1" applyBorder="1" applyAlignment="1">
      <alignment horizontal="center" vertical="center"/>
    </xf>
    <xf numFmtId="167" fontId="15" fillId="0" borderId="1" xfId="0" applyNumberFormat="1" applyFont="1" applyBorder="1" applyAlignment="1">
      <alignment vertical="center"/>
    </xf>
    <xf numFmtId="0" fontId="9" fillId="9" borderId="11" xfId="0" applyFont="1" applyFill="1" applyBorder="1" applyAlignment="1">
      <alignment horizontal="center" vertical="center"/>
    </xf>
    <xf numFmtId="165" fontId="9" fillId="9" borderId="11" xfId="1" applyNumberFormat="1" applyFont="1" applyFill="1" applyBorder="1" applyAlignment="1">
      <alignment horizontal="center" vertical="center"/>
    </xf>
    <xf numFmtId="165" fontId="9" fillId="9" borderId="8" xfId="1" applyNumberFormat="1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169" fontId="1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vertical="center"/>
    </xf>
    <xf numFmtId="9" fontId="0" fillId="0" borderId="7" xfId="2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horizontal="right" vertical="center" indent="1"/>
    </xf>
    <xf numFmtId="4" fontId="2" fillId="0" borderId="1" xfId="0" applyNumberFormat="1" applyFont="1" applyBorder="1" applyAlignment="1">
      <alignment horizontal="right" vertical="center" indent="1"/>
    </xf>
    <xf numFmtId="164" fontId="6" fillId="0" borderId="1" xfId="2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 indent="1"/>
    </xf>
    <xf numFmtId="0" fontId="0" fillId="0" borderId="18" xfId="0" applyFill="1" applyBorder="1" applyAlignment="1">
      <alignment horizontal="center"/>
    </xf>
    <xf numFmtId="3" fontId="3" fillId="0" borderId="19" xfId="0" applyNumberFormat="1" applyFont="1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3" fontId="3" fillId="0" borderId="21" xfId="0" applyNumberFormat="1" applyFont="1" applyFill="1" applyBorder="1" applyAlignment="1">
      <alignment horizontal="center"/>
    </xf>
    <xf numFmtId="0" fontId="6" fillId="0" borderId="18" xfId="0" quotePrefix="1" applyFont="1" applyFill="1" applyBorder="1" applyAlignment="1">
      <alignment horizontal="right" indent="1"/>
    </xf>
    <xf numFmtId="169" fontId="6" fillId="0" borderId="18" xfId="0" applyNumberFormat="1" applyFont="1" applyFill="1" applyBorder="1" applyAlignment="1">
      <alignment horizontal="right" indent="1"/>
    </xf>
    <xf numFmtId="4" fontId="6" fillId="0" borderId="10" xfId="0" applyNumberFormat="1" applyFont="1" applyFill="1" applyBorder="1" applyAlignment="1">
      <alignment horizontal="right" indent="1"/>
    </xf>
    <xf numFmtId="0" fontId="6" fillId="0" borderId="18" xfId="0" applyFont="1" applyFill="1" applyBorder="1" applyAlignment="1">
      <alignment horizontal="right" indent="1"/>
    </xf>
    <xf numFmtId="44" fontId="6" fillId="10" borderId="1" xfId="1" applyNumberFormat="1" applyFont="1" applyFill="1" applyBorder="1" applyAlignment="1">
      <alignment vertical="center"/>
    </xf>
    <xf numFmtId="44" fontId="0" fillId="0" borderId="1" xfId="1" applyNumberFormat="1" applyFont="1" applyBorder="1" applyAlignment="1">
      <alignment vertical="center"/>
    </xf>
    <xf numFmtId="44" fontId="14" fillId="3" borderId="1" xfId="1" applyNumberFormat="1" applyFont="1" applyFill="1" applyBorder="1" applyAlignment="1">
      <alignment vertical="center"/>
    </xf>
    <xf numFmtId="173" fontId="0" fillId="0" borderId="5" xfId="0" applyNumberForma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22" xfId="0" applyFill="1" applyBorder="1" applyAlignment="1">
      <alignment horizontal="center"/>
    </xf>
    <xf numFmtId="3" fontId="0" fillId="0" borderId="1" xfId="0" applyNumberFormat="1" applyBorder="1" applyAlignment="1">
      <alignment horizontal="left" vertical="center" indent="1"/>
    </xf>
    <xf numFmtId="9" fontId="2" fillId="12" borderId="1" xfId="2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5" xfId="0" applyBorder="1"/>
    <xf numFmtId="0" fontId="0" fillId="0" borderId="7" xfId="0" applyBorder="1"/>
    <xf numFmtId="4" fontId="1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9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horizontal="right" vertical="center"/>
    </xf>
    <xf numFmtId="0" fontId="0" fillId="7" borderId="1" xfId="0" applyFill="1" applyBorder="1" applyAlignment="1">
      <alignment horizontal="center" vertical="center"/>
    </xf>
    <xf numFmtId="165" fontId="0" fillId="7" borderId="1" xfId="1" applyNumberFormat="1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left"/>
    </xf>
    <xf numFmtId="0" fontId="9" fillId="6" borderId="7" xfId="0" applyFont="1" applyFill="1" applyBorder="1" applyAlignment="1">
      <alignment horizontal="left"/>
    </xf>
    <xf numFmtId="0" fontId="9" fillId="6" borderId="9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/>
    </xf>
    <xf numFmtId="168" fontId="6" fillId="0" borderId="1" xfId="0" applyNumberFormat="1" applyFont="1" applyBorder="1" applyAlignment="1">
      <alignment horizontal="center"/>
    </xf>
    <xf numFmtId="0" fontId="3" fillId="0" borderId="0" xfId="0" applyFont="1"/>
    <xf numFmtId="0" fontId="0" fillId="0" borderId="4" xfId="0" applyBorder="1" applyAlignment="1">
      <alignment horizontal="center"/>
    </xf>
    <xf numFmtId="3" fontId="3" fillId="0" borderId="9" xfId="0" applyNumberFormat="1" applyFont="1" applyBorder="1" applyAlignment="1">
      <alignment horizontal="right"/>
    </xf>
    <xf numFmtId="0" fontId="0" fillId="0" borderId="11" xfId="0" applyBorder="1" applyAlignment="1">
      <alignment horizontal="center"/>
    </xf>
    <xf numFmtId="3" fontId="3" fillId="0" borderId="8" xfId="0" applyNumberFormat="1" applyFont="1" applyBorder="1" applyAlignment="1">
      <alignment horizontal="right"/>
    </xf>
    <xf numFmtId="3" fontId="10" fillId="0" borderId="4" xfId="0" applyNumberFormat="1" applyFont="1" applyBorder="1" applyAlignment="1">
      <alignment horizontal="right" indent="1"/>
    </xf>
    <xf numFmtId="3" fontId="3" fillId="0" borderId="19" xfId="0" applyNumberFormat="1" applyFont="1" applyBorder="1" applyAlignment="1">
      <alignment horizontal="right"/>
    </xf>
    <xf numFmtId="0" fontId="0" fillId="0" borderId="20" xfId="0" applyBorder="1" applyAlignment="1">
      <alignment horizontal="center"/>
    </xf>
    <xf numFmtId="3" fontId="3" fillId="0" borderId="21" xfId="0" applyNumberFormat="1" applyFont="1" applyBorder="1" applyAlignment="1">
      <alignment horizontal="right"/>
    </xf>
    <xf numFmtId="3" fontId="10" fillId="0" borderId="18" xfId="0" applyNumberFormat="1" applyFont="1" applyBorder="1" applyAlignment="1">
      <alignment horizontal="right" indent="1"/>
    </xf>
    <xf numFmtId="3" fontId="3" fillId="5" borderId="12" xfId="0" applyNumberFormat="1" applyFont="1" applyFill="1" applyBorder="1" applyAlignment="1">
      <alignment horizontal="right"/>
    </xf>
    <xf numFmtId="0" fontId="0" fillId="5" borderId="13" xfId="0" applyFill="1" applyBorder="1" applyAlignment="1">
      <alignment horizontal="center"/>
    </xf>
    <xf numFmtId="3" fontId="3" fillId="5" borderId="14" xfId="0" applyNumberFormat="1" applyFont="1" applyFill="1" applyBorder="1" applyAlignment="1">
      <alignment horizontal="right"/>
    </xf>
    <xf numFmtId="3" fontId="10" fillId="5" borderId="10" xfId="0" applyNumberFormat="1" applyFont="1" applyFill="1" applyBorder="1" applyAlignment="1">
      <alignment horizontal="right" indent="1"/>
    </xf>
    <xf numFmtId="3" fontId="3" fillId="5" borderId="26" xfId="0" applyNumberFormat="1" applyFont="1" applyFill="1" applyBorder="1" applyAlignment="1">
      <alignment horizontal="right"/>
    </xf>
    <xf numFmtId="0" fontId="0" fillId="5" borderId="27" xfId="0" applyFill="1" applyBorder="1" applyAlignment="1">
      <alignment horizontal="center"/>
    </xf>
    <xf numFmtId="3" fontId="3" fillId="5" borderId="28" xfId="0" applyNumberFormat="1" applyFont="1" applyFill="1" applyBorder="1" applyAlignment="1">
      <alignment horizontal="right"/>
    </xf>
    <xf numFmtId="3" fontId="10" fillId="5" borderId="25" xfId="0" applyNumberFormat="1" applyFont="1" applyFill="1" applyBorder="1" applyAlignment="1">
      <alignment horizontal="right" indent="1"/>
    </xf>
    <xf numFmtId="167" fontId="10" fillId="5" borderId="1" xfId="0" applyNumberFormat="1" applyFont="1" applyFill="1" applyBorder="1" applyAlignment="1">
      <alignment horizontal="right" indent="1"/>
    </xf>
    <xf numFmtId="0" fontId="19" fillId="0" borderId="0" xfId="0" applyFont="1"/>
    <xf numFmtId="0" fontId="20" fillId="2" borderId="5" xfId="0" applyFont="1" applyFill="1" applyBorder="1" applyAlignment="1">
      <alignment horizontal="center"/>
    </xf>
    <xf numFmtId="10" fontId="3" fillId="0" borderId="1" xfId="2" applyNumberFormat="1" applyFont="1" applyBorder="1" applyAlignment="1">
      <alignment horizontal="right" indent="1"/>
    </xf>
    <xf numFmtId="10" fontId="3" fillId="5" borderId="1" xfId="2" applyNumberFormat="1" applyFont="1" applyFill="1" applyBorder="1" applyAlignment="1">
      <alignment horizontal="right" indent="1"/>
    </xf>
    <xf numFmtId="10" fontId="3" fillId="5" borderId="10" xfId="2" applyNumberFormat="1" applyFont="1" applyFill="1" applyBorder="1" applyAlignment="1">
      <alignment horizontal="right" indent="1"/>
    </xf>
    <xf numFmtId="10" fontId="3" fillId="0" borderId="18" xfId="2" applyNumberFormat="1" applyFont="1" applyBorder="1" applyAlignment="1">
      <alignment horizontal="right" indent="1"/>
    </xf>
    <xf numFmtId="10" fontId="3" fillId="5" borderId="25" xfId="2" applyNumberFormat="1" applyFont="1" applyFill="1" applyBorder="1" applyAlignment="1">
      <alignment horizontal="right" indent="1"/>
    </xf>
    <xf numFmtId="10" fontId="3" fillId="0" borderId="4" xfId="2" applyNumberFormat="1" applyFont="1" applyBorder="1" applyAlignment="1">
      <alignment horizontal="right" indent="1"/>
    </xf>
    <xf numFmtId="164" fontId="3" fillId="5" borderId="25" xfId="2" applyNumberFormat="1" applyFont="1" applyFill="1" applyBorder="1" applyAlignment="1">
      <alignment horizontal="right" indent="1"/>
    </xf>
    <xf numFmtId="164" fontId="3" fillId="0" borderId="4" xfId="2" applyNumberFormat="1" applyFont="1" applyBorder="1" applyAlignment="1">
      <alignment horizontal="right" indent="1"/>
    </xf>
    <xf numFmtId="164" fontId="3" fillId="5" borderId="1" xfId="2" applyNumberFormat="1" applyFont="1" applyFill="1" applyBorder="1" applyAlignment="1">
      <alignment horizontal="right" indent="1"/>
    </xf>
    <xf numFmtId="164" fontId="3" fillId="0" borderId="1" xfId="2" applyNumberFormat="1" applyFont="1" applyBorder="1" applyAlignment="1">
      <alignment horizontal="right" indent="1"/>
    </xf>
    <xf numFmtId="164" fontId="3" fillId="5" borderId="10" xfId="2" applyNumberFormat="1" applyFont="1" applyFill="1" applyBorder="1" applyAlignment="1">
      <alignment horizontal="right" indent="1"/>
    </xf>
    <xf numFmtId="164" fontId="3" fillId="0" borderId="18" xfId="2" applyNumberFormat="1" applyFont="1" applyBorder="1" applyAlignment="1">
      <alignment horizontal="right" indent="1"/>
    </xf>
    <xf numFmtId="0" fontId="4" fillId="0" borderId="0" xfId="0" applyFont="1"/>
    <xf numFmtId="0" fontId="11" fillId="6" borderId="1" xfId="0" applyFont="1" applyFill="1" applyBorder="1" applyAlignment="1">
      <alignment horizontal="center"/>
    </xf>
    <xf numFmtId="0" fontId="20" fillId="2" borderId="1" xfId="0" applyFont="1" applyFill="1" applyBorder="1" applyAlignment="1">
      <alignment horizontal="center"/>
    </xf>
    <xf numFmtId="0" fontId="21" fillId="0" borderId="0" xfId="0" applyFont="1"/>
    <xf numFmtId="3" fontId="0" fillId="0" borderId="0" xfId="0" applyNumberFormat="1"/>
    <xf numFmtId="174" fontId="0" fillId="0" borderId="0" xfId="3" applyNumberFormat="1" applyFont="1"/>
    <xf numFmtId="0" fontId="0" fillId="0" borderId="9" xfId="0" applyBorder="1" applyAlignment="1">
      <alignment horizontal="center"/>
    </xf>
    <xf numFmtId="0" fontId="24" fillId="13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0" fontId="9" fillId="9" borderId="8" xfId="0" applyFont="1" applyFill="1" applyBorder="1" applyAlignment="1">
      <alignment horizontal="center" vertical="center"/>
    </xf>
    <xf numFmtId="165" fontId="9" fillId="9" borderId="9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5" borderId="25" xfId="0" applyFont="1" applyFill="1" applyBorder="1" applyAlignment="1">
      <alignment horizontal="center"/>
    </xf>
    <xf numFmtId="0" fontId="3" fillId="0" borderId="4" xfId="0" applyFont="1" applyBorder="1" applyAlignment="1">
      <alignment horizontal="center"/>
    </xf>
    <xf numFmtId="3" fontId="25" fillId="0" borderId="0" xfId="0" applyNumberFormat="1" applyFont="1" applyAlignment="1">
      <alignment vertical="center"/>
    </xf>
    <xf numFmtId="3" fontId="26" fillId="0" borderId="0" xfId="0" applyNumberFormat="1" applyFont="1" applyAlignment="1">
      <alignment vertical="center"/>
    </xf>
    <xf numFmtId="2" fontId="6" fillId="0" borderId="1" xfId="0" applyNumberFormat="1" applyFont="1" applyFill="1" applyBorder="1" applyAlignment="1">
      <alignment horizontal="right" indent="1"/>
    </xf>
    <xf numFmtId="0" fontId="9" fillId="9" borderId="9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4" fontId="0" fillId="0" borderId="1" xfId="0" applyNumberFormat="1" applyBorder="1"/>
    <xf numFmtId="173" fontId="0" fillId="0" borderId="1" xfId="0" applyNumberFormat="1" applyBorder="1" applyAlignment="1">
      <alignment vertical="center"/>
    </xf>
    <xf numFmtId="0" fontId="0" fillId="0" borderId="4" xfId="0" applyBorder="1" applyAlignment="1">
      <alignment horizontal="left"/>
    </xf>
    <xf numFmtId="3" fontId="0" fillId="0" borderId="4" xfId="0" applyNumberFormat="1" applyBorder="1"/>
    <xf numFmtId="173" fontId="0" fillId="0" borderId="9" xfId="0" applyNumberFormat="1" applyBorder="1" applyAlignment="1">
      <alignment vertical="center"/>
    </xf>
    <xf numFmtId="173" fontId="0" fillId="0" borderId="4" xfId="0" applyNumberFormat="1" applyBorder="1" applyAlignment="1">
      <alignment vertical="center"/>
    </xf>
    <xf numFmtId="0" fontId="0" fillId="0" borderId="10" xfId="0" applyBorder="1" applyAlignment="1">
      <alignment horizontal="left"/>
    </xf>
    <xf numFmtId="3" fontId="0" fillId="0" borderId="10" xfId="0" applyNumberFormat="1" applyBorder="1"/>
    <xf numFmtId="0" fontId="0" fillId="0" borderId="10" xfId="0" applyBorder="1" applyAlignment="1">
      <alignment horizontal="center"/>
    </xf>
    <xf numFmtId="173" fontId="0" fillId="0" borderId="12" xfId="0" applyNumberFormat="1" applyBorder="1" applyAlignment="1">
      <alignment vertical="center"/>
    </xf>
    <xf numFmtId="173" fontId="0" fillId="0" borderId="10" xfId="0" applyNumberFormat="1" applyBorder="1" applyAlignment="1">
      <alignment vertical="center"/>
    </xf>
    <xf numFmtId="0" fontId="0" fillId="0" borderId="25" xfId="0" applyBorder="1" applyAlignment="1">
      <alignment horizontal="left"/>
    </xf>
    <xf numFmtId="0" fontId="0" fillId="0" borderId="25" xfId="0" applyBorder="1" applyAlignment="1">
      <alignment horizontal="center"/>
    </xf>
    <xf numFmtId="173" fontId="0" fillId="0" borderId="26" xfId="0" applyNumberFormat="1" applyBorder="1" applyAlignment="1">
      <alignment vertical="center"/>
    </xf>
    <xf numFmtId="173" fontId="0" fillId="0" borderId="25" xfId="0" applyNumberFormat="1" applyBorder="1" applyAlignment="1">
      <alignment vertical="center"/>
    </xf>
    <xf numFmtId="4" fontId="0" fillId="0" borderId="25" xfId="0" applyNumberFormat="1" applyBorder="1"/>
    <xf numFmtId="168" fontId="6" fillId="0" borderId="1" xfId="0" applyNumberFormat="1" applyFont="1" applyFill="1" applyBorder="1" applyAlignment="1">
      <alignment horizontal="right" indent="1"/>
    </xf>
    <xf numFmtId="171" fontId="6" fillId="0" borderId="1" xfId="0" applyNumberFormat="1" applyFont="1" applyFill="1" applyBorder="1" applyAlignment="1">
      <alignment horizontal="right" indent="1"/>
    </xf>
    <xf numFmtId="0" fontId="21" fillId="0" borderId="0" xfId="4" applyFont="1" applyAlignment="1">
      <alignment horizontal="center"/>
    </xf>
    <xf numFmtId="0" fontId="1" fillId="0" borderId="0" xfId="4" applyFont="1" applyAlignment="1">
      <alignment horizontal="center"/>
    </xf>
    <xf numFmtId="0" fontId="2" fillId="0" borderId="0" xfId="4" applyFont="1" applyAlignment="1">
      <alignment horizontal="left"/>
    </xf>
    <xf numFmtId="0" fontId="2" fillId="5" borderId="2" xfId="4" applyFont="1" applyFill="1" applyBorder="1" applyAlignment="1">
      <alignment horizontal="center"/>
    </xf>
    <xf numFmtId="0" fontId="9" fillId="14" borderId="1" xfId="4" applyFont="1" applyFill="1" applyBorder="1" applyAlignment="1">
      <alignment horizontal="center"/>
    </xf>
    <xf numFmtId="0" fontId="2" fillId="0" borderId="1" xfId="4" applyFont="1" applyBorder="1" applyAlignment="1">
      <alignment horizontal="left"/>
    </xf>
    <xf numFmtId="0" fontId="1" fillId="0" borderId="1" xfId="4" applyFont="1" applyBorder="1" applyAlignment="1">
      <alignment horizontal="center"/>
    </xf>
    <xf numFmtId="0" fontId="1" fillId="0" borderId="1" xfId="4" applyFont="1" applyBorder="1" applyAlignment="1">
      <alignment horizontal="right" indent="1"/>
    </xf>
    <xf numFmtId="0" fontId="1" fillId="0" borderId="0" xfId="4" applyFont="1" applyBorder="1" applyAlignment="1">
      <alignment horizontal="center"/>
    </xf>
    <xf numFmtId="0" fontId="2" fillId="0" borderId="15" xfId="4" applyFont="1" applyBorder="1" applyAlignment="1">
      <alignment horizontal="center"/>
    </xf>
    <xf numFmtId="0" fontId="1" fillId="0" borderId="16" xfId="4" applyFont="1" applyBorder="1" applyAlignment="1">
      <alignment horizontal="center"/>
    </xf>
    <xf numFmtId="4" fontId="1" fillId="0" borderId="1" xfId="4" applyNumberFormat="1" applyFont="1" applyBorder="1" applyAlignment="1">
      <alignment horizontal="right" indent="1"/>
    </xf>
    <xf numFmtId="0" fontId="2" fillId="0" borderId="23" xfId="4" applyFont="1" applyBorder="1" applyAlignment="1">
      <alignment horizontal="center"/>
    </xf>
    <xf numFmtId="169" fontId="1" fillId="0" borderId="1" xfId="4" applyNumberFormat="1" applyFont="1" applyBorder="1" applyAlignment="1">
      <alignment horizontal="center"/>
    </xf>
    <xf numFmtId="9" fontId="0" fillId="0" borderId="5" xfId="2" applyFont="1" applyBorder="1" applyAlignment="1">
      <alignment vertical="center"/>
    </xf>
    <xf numFmtId="9" fontId="0" fillId="0" borderId="26" xfId="2" applyFont="1" applyBorder="1" applyAlignment="1">
      <alignment vertical="center"/>
    </xf>
    <xf numFmtId="9" fontId="0" fillId="0" borderId="12" xfId="2" applyFont="1" applyBorder="1" applyAlignment="1">
      <alignment vertical="center"/>
    </xf>
    <xf numFmtId="9" fontId="0" fillId="0" borderId="9" xfId="2" applyFont="1" applyBorder="1" applyAlignment="1">
      <alignment vertical="center"/>
    </xf>
    <xf numFmtId="4" fontId="0" fillId="0" borderId="4" xfId="0" applyNumberFormat="1" applyBorder="1"/>
    <xf numFmtId="9" fontId="0" fillId="0" borderId="1" xfId="2" applyFont="1" applyBorder="1" applyAlignment="1">
      <alignment vertical="center"/>
    </xf>
    <xf numFmtId="4" fontId="0" fillId="0" borderId="10" xfId="2" applyNumberFormat="1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6" xfId="0" applyBorder="1" applyAlignment="1">
      <alignment horizontal="center"/>
    </xf>
    <xf numFmtId="4" fontId="0" fillId="0" borderId="1" xfId="2" applyNumberFormat="1" applyFont="1" applyBorder="1" applyAlignment="1">
      <alignment vertical="center"/>
    </xf>
    <xf numFmtId="4" fontId="0" fillId="0" borderId="4" xfId="2" applyNumberFormat="1" applyFont="1" applyBorder="1" applyAlignment="1">
      <alignment vertical="center"/>
    </xf>
    <xf numFmtId="0" fontId="28" fillId="0" borderId="0" xfId="4" applyFont="1" applyAlignment="1">
      <alignment horizontal="left"/>
    </xf>
    <xf numFmtId="2" fontId="2" fillId="3" borderId="1" xfId="4" applyNumberFormat="1" applyFont="1" applyFill="1" applyBorder="1" applyAlignment="1">
      <alignment horizontal="right" indent="1"/>
    </xf>
    <xf numFmtId="175" fontId="2" fillId="3" borderId="1" xfId="4" applyNumberFormat="1" applyFont="1" applyFill="1" applyBorder="1" applyAlignment="1">
      <alignment horizontal="center"/>
    </xf>
    <xf numFmtId="0" fontId="9" fillId="14" borderId="2" xfId="4" applyFont="1" applyFill="1" applyBorder="1" applyAlignment="1">
      <alignment horizontal="center"/>
    </xf>
    <xf numFmtId="169" fontId="2" fillId="3" borderId="1" xfId="4" applyNumberFormat="1" applyFont="1" applyFill="1" applyBorder="1" applyAlignment="1">
      <alignment horizontal="right" indent="1"/>
    </xf>
    <xf numFmtId="176" fontId="2" fillId="3" borderId="1" xfId="4" applyNumberFormat="1" applyFont="1" applyFill="1" applyBorder="1" applyAlignment="1">
      <alignment horizontal="right" indent="1"/>
    </xf>
    <xf numFmtId="0" fontId="11" fillId="6" borderId="5" xfId="0" applyFont="1" applyFill="1" applyBorder="1" applyAlignment="1">
      <alignment horizontal="center"/>
    </xf>
    <xf numFmtId="0" fontId="11" fillId="6" borderId="6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11" fillId="6" borderId="9" xfId="0" applyFont="1" applyFill="1" applyBorder="1" applyAlignment="1">
      <alignment horizontal="center"/>
    </xf>
    <xf numFmtId="0" fontId="11" fillId="6" borderId="8" xfId="0" applyFont="1" applyFill="1" applyBorder="1" applyAlignment="1">
      <alignment horizontal="center"/>
    </xf>
    <xf numFmtId="0" fontId="9" fillId="6" borderId="5" xfId="0" applyFont="1" applyFill="1" applyBorder="1" applyAlignment="1">
      <alignment horizontal="center"/>
    </xf>
    <xf numFmtId="0" fontId="9" fillId="6" borderId="6" xfId="0" applyFont="1" applyFill="1" applyBorder="1" applyAlignment="1">
      <alignment horizontal="center"/>
    </xf>
    <xf numFmtId="0" fontId="9" fillId="6" borderId="7" xfId="0" applyFont="1" applyFill="1" applyBorder="1" applyAlignment="1">
      <alignment horizontal="center"/>
    </xf>
    <xf numFmtId="0" fontId="9" fillId="6" borderId="9" xfId="0" applyFont="1" applyFill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9" borderId="9" xfId="0" applyFont="1" applyFill="1" applyBorder="1" applyAlignment="1">
      <alignment horizontal="center" vertical="center"/>
    </xf>
    <xf numFmtId="0" fontId="9" fillId="9" borderId="8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9" fontId="2" fillId="4" borderId="5" xfId="2" applyFont="1" applyFill="1" applyBorder="1" applyAlignment="1">
      <alignment horizontal="center" vertical="center"/>
    </xf>
    <xf numFmtId="9" fontId="2" fillId="4" borderId="7" xfId="2" applyFont="1" applyFill="1" applyBorder="1" applyAlignment="1">
      <alignment horizontal="center" vertical="center"/>
    </xf>
    <xf numFmtId="165" fontId="9" fillId="8" borderId="5" xfId="1" applyNumberFormat="1" applyFont="1" applyFill="1" applyBorder="1" applyAlignment="1">
      <alignment horizontal="center" vertical="center"/>
    </xf>
    <xf numFmtId="165" fontId="9" fillId="8" borderId="6" xfId="1" applyNumberFormat="1" applyFont="1" applyFill="1" applyBorder="1" applyAlignment="1">
      <alignment horizontal="center" vertical="center"/>
    </xf>
    <xf numFmtId="165" fontId="9" fillId="8" borderId="7" xfId="1" applyNumberFormat="1" applyFont="1" applyFill="1" applyBorder="1" applyAlignment="1">
      <alignment horizontal="center" vertical="center"/>
    </xf>
    <xf numFmtId="165" fontId="9" fillId="11" borderId="5" xfId="1" applyNumberFormat="1" applyFont="1" applyFill="1" applyBorder="1" applyAlignment="1">
      <alignment horizontal="center" vertical="center"/>
    </xf>
    <xf numFmtId="165" fontId="9" fillId="11" borderId="6" xfId="1" applyNumberFormat="1" applyFont="1" applyFill="1" applyBorder="1" applyAlignment="1">
      <alignment horizontal="center" vertical="center"/>
    </xf>
    <xf numFmtId="165" fontId="9" fillId="11" borderId="7" xfId="1" applyNumberFormat="1" applyFont="1" applyFill="1" applyBorder="1" applyAlignment="1">
      <alignment horizontal="center" vertical="center"/>
    </xf>
    <xf numFmtId="0" fontId="9" fillId="6" borderId="15" xfId="0" applyFont="1" applyFill="1" applyBorder="1" applyAlignment="1">
      <alignment horizontal="center" vertical="center"/>
    </xf>
    <xf numFmtId="0" fontId="9" fillId="6" borderId="16" xfId="0" applyFont="1" applyFill="1" applyBorder="1" applyAlignment="1">
      <alignment horizontal="center" vertical="center"/>
    </xf>
    <xf numFmtId="0" fontId="9" fillId="6" borderId="17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9" fillId="9" borderId="16" xfId="0" applyFont="1" applyFill="1" applyBorder="1" applyAlignment="1">
      <alignment horizontal="center" vertical="center"/>
    </xf>
    <xf numFmtId="0" fontId="9" fillId="9" borderId="17" xfId="0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9" fillId="6" borderId="24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5">
    <cellStyle name="Millares" xfId="3" builtinId="3"/>
    <cellStyle name="Moneda" xfId="1" builtinId="4"/>
    <cellStyle name="Normal" xfId="0" builtinId="0"/>
    <cellStyle name="Normal 2" xfId="4"/>
    <cellStyle name="Porcentaje" xfId="2" builtinId="5"/>
  </cellStyles>
  <dxfs count="50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FFFFCC"/>
      <color rgb="FFFFFF99"/>
      <color rgb="FFFDEA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€/año ATR Grupo 2 Promedio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08242308848582"/>
          <c:y val="0.11194080424745022"/>
          <c:w val="0.87929025954504458"/>
          <c:h val="0.679861896657134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'Grupo 2 Promedio'!$AZ$9</c:f>
              <c:strCache>
                <c:ptCount val="1"/>
                <c:pt idx="0">
                  <c:v>D €/año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AF9-46D1-BF3D-8137EA354413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AF9-46D1-BF3D-8137EA354413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AF9-46D1-BF3D-8137EA354413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AF9-46D1-BF3D-8137EA354413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5AF9-46D1-BF3D-8137EA354413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5AF9-46D1-BF3D-8137EA354413}"/>
              </c:ext>
            </c:extLst>
          </c:dPt>
          <c:dPt>
            <c:idx val="2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94A7-4601-973D-48B1BE4D2908}"/>
              </c:ext>
            </c:extLst>
          </c:dPt>
          <c:dPt>
            <c:idx val="2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4A7-4601-973D-48B1BE4D2908}"/>
              </c:ext>
            </c:extLst>
          </c:dPt>
          <c:dPt>
            <c:idx val="2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4A7-4601-973D-48B1BE4D2908}"/>
              </c:ext>
            </c:extLst>
          </c:dPt>
          <c:dPt>
            <c:idx val="2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4A7-4601-973D-48B1BE4D2908}"/>
              </c:ext>
            </c:extLst>
          </c:dPt>
          <c:dPt>
            <c:idx val="2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94A7-4601-973D-48B1BE4D2908}"/>
              </c:ext>
            </c:extLst>
          </c:dPt>
          <c:dPt>
            <c:idx val="2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4A7-4601-973D-48B1BE4D2908}"/>
              </c:ext>
            </c:extLst>
          </c:dPt>
          <c:dPt>
            <c:idx val="26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94A7-4601-973D-48B1BE4D2908}"/>
              </c:ext>
            </c:extLst>
          </c:dPt>
          <c:dPt>
            <c:idx val="27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4A7-4601-973D-48B1BE4D2908}"/>
              </c:ext>
            </c:extLst>
          </c:dPt>
          <c:dPt>
            <c:idx val="2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94A7-4601-973D-48B1BE4D2908}"/>
              </c:ext>
            </c:extLst>
          </c:dPt>
          <c:dPt>
            <c:idx val="29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4A7-4601-973D-48B1BE4D2908}"/>
              </c:ext>
            </c:extLst>
          </c:dPt>
          <c:dPt>
            <c:idx val="3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94A7-4601-973D-48B1BE4D2908}"/>
              </c:ext>
            </c:extLst>
          </c:dPt>
          <c:dPt>
            <c:idx val="3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4A7-4601-973D-48B1BE4D2908}"/>
              </c:ext>
            </c:extLst>
          </c:dPt>
          <c:dLbls>
            <c:dLbl>
              <c:idx val="4"/>
              <c:numFmt formatCode="#,##0\ &quot;€&quot;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#,##0\ &quot;€&quot;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'Grupo 2 Promedio'!$E$10:$E$15</c:f>
              <c:strCache>
                <c:ptCount val="6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</c:strCache>
            </c:strRef>
          </c:cat>
          <c:val>
            <c:numRef>
              <c:f>'Grupo 2 Promedio'!$AZ$10:$AZ$15</c:f>
              <c:numCache>
                <c:formatCode>#,##0.00\ "€"</c:formatCode>
                <c:ptCount val="6"/>
                <c:pt idx="0">
                  <c:v>2760.2283492496526</c:v>
                </c:pt>
                <c:pt idx="1">
                  <c:v>19588.020749702526</c:v>
                </c:pt>
                <c:pt idx="2">
                  <c:v>17439.014702224667</c:v>
                </c:pt>
                <c:pt idx="3">
                  <c:v>-1042.7827647445956</c:v>
                </c:pt>
                <c:pt idx="4">
                  <c:v>-185245.31546688825</c:v>
                </c:pt>
                <c:pt idx="5">
                  <c:v>-1158400.325843011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52-49EF-8CF6-F9B5C41CC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187298944"/>
        <c:axId val="187300864"/>
      </c:barChart>
      <c:catAx>
        <c:axId val="187298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Grupo 2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1323071062868388"/>
              <c:y val="0.916666524974877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7300864"/>
        <c:crossesAt val="0"/>
        <c:auto val="1"/>
        <c:lblAlgn val="ctr"/>
        <c:lblOffset val="100"/>
        <c:noMultiLvlLbl val="0"/>
      </c:catAx>
      <c:valAx>
        <c:axId val="187300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7298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l-GR" sz="1400" b="1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 b="1">
                <a:solidFill>
                  <a:schemeClr val="tx1">
                    <a:lumMod val="75000"/>
                    <a:lumOff val="25000"/>
                  </a:schemeClr>
                </a:solidFill>
              </a:rPr>
              <a:t> €/año ATR Grupo 3 GNL Promedio</a:t>
            </a:r>
            <a:r>
              <a:rPr lang="en-US" sz="1400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(excepto 3.5)</a:t>
            </a:r>
            <a:endParaRPr lang="en-US" sz="1400" b="1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>
        <c:manualLayout>
          <c:xMode val="edge"/>
          <c:yMode val="edge"/>
          <c:x val="0.1882196696927127"/>
          <c:y val="3.337041156840934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'Grupo 3 GNL Promedio'!$AN$9</c:f>
              <c:strCache>
                <c:ptCount val="1"/>
                <c:pt idx="0">
                  <c:v>D €/año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029-4625-A319-418869061C3F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029-4625-A319-418869061C3F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0029-4625-A319-418869061C3F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0029-4625-A319-418869061C3F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0029-4625-A319-418869061C3F}"/>
              </c:ext>
            </c:extLst>
          </c:dPt>
          <c:dPt>
            <c:idx val="3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1EAD-4F78-8D56-B38BDF5076A9}"/>
              </c:ext>
            </c:extLst>
          </c:dPt>
          <c:dPt>
            <c:idx val="3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EAD-4F78-8D56-B38BDF5076A9}"/>
              </c:ext>
            </c:extLst>
          </c:dPt>
          <c:dPt>
            <c:idx val="3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1EAD-4F78-8D56-B38BDF5076A9}"/>
              </c:ext>
            </c:extLst>
          </c:dPt>
          <c:dPt>
            <c:idx val="3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EAD-4F78-8D56-B38BDF5076A9}"/>
              </c:ext>
            </c:extLst>
          </c:dPt>
          <c:dPt>
            <c:idx val="3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EAD-4F78-8D56-B38BDF5076A9}"/>
              </c:ext>
            </c:extLst>
          </c:dPt>
          <c:dLbls>
            <c:dLbl>
              <c:idx val="0"/>
              <c:numFmt formatCode="#,##0\ &quot;€&quot;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numFmt formatCode="#,##0\ &quot;€&quot;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'Grupo 3 GNL Promedio'!$E$10:$E$13</c:f>
              <c:strCache>
                <c:ptCount val="4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</c:strCache>
            </c:strRef>
          </c:cat>
          <c:val>
            <c:numRef>
              <c:f>'Grupo 3 GNL Promedio'!$AN$10:$AN$13</c:f>
              <c:numCache>
                <c:formatCode>#,##0.00\ "€"</c:formatCode>
                <c:ptCount val="4"/>
                <c:pt idx="0">
                  <c:v>-28.078007831533597</c:v>
                </c:pt>
                <c:pt idx="1">
                  <c:v>-17.093234428925058</c:v>
                </c:pt>
                <c:pt idx="2">
                  <c:v>166.0571154465506</c:v>
                </c:pt>
                <c:pt idx="3">
                  <c:v>2547.325028268051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A9-427B-81F7-669BFC35A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189207296"/>
        <c:axId val="189209216"/>
      </c:barChart>
      <c:catAx>
        <c:axId val="189207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Peajes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Grupo 3 conectados a PS GNL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354024400157945"/>
              <c:y val="0.9259210229402244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9209216"/>
        <c:crossesAt val="0"/>
        <c:auto val="1"/>
        <c:lblAlgn val="ctr"/>
        <c:lblOffset val="100"/>
        <c:noMultiLvlLbl val="0"/>
      </c:catAx>
      <c:valAx>
        <c:axId val="189209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9207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 b="1">
                <a:solidFill>
                  <a:schemeClr val="tx1">
                    <a:lumMod val="75000"/>
                    <a:lumOff val="25000"/>
                  </a:schemeClr>
                </a:solidFill>
              </a:rPr>
              <a:t>€/MWh</a:t>
            </a:r>
            <a:r>
              <a:rPr lang="en-US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Peajes ATR</a:t>
            </a:r>
            <a:r>
              <a:rPr lang="en-US" b="1">
                <a:solidFill>
                  <a:schemeClr val="tx1">
                    <a:lumMod val="75000"/>
                    <a:lumOff val="25000"/>
                  </a:schemeClr>
                </a:solidFill>
              </a:rPr>
              <a:t> Grupo 3 GNL Promedio</a:t>
            </a:r>
            <a:r>
              <a:rPr lang="en-US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(excepto 3.5)</a:t>
            </a:r>
            <a:endParaRPr lang="en-US" b="1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>
        <c:manualLayout>
          <c:xMode val="edge"/>
          <c:yMode val="edge"/>
          <c:x val="0.2162711605516249"/>
          <c:y val="2.22468994444748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ATR Actual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334961032832424E-2"/>
                  <c:y val="-5.3671903544026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78-4607-90A9-CAD658BE2DBF}"/>
                </c:ext>
              </c:extLst>
            </c:dLbl>
            <c:dLbl>
              <c:idx val="1"/>
              <c:layout>
                <c:manualLayout>
                  <c:x val="-3.9221980825690367E-2"/>
                  <c:y val="-4.94488008447555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378-4607-90A9-CAD658BE2DBF}"/>
                </c:ext>
              </c:extLst>
            </c:dLbl>
            <c:dLbl>
              <c:idx val="2"/>
              <c:layout>
                <c:manualLayout>
                  <c:x val="-3.8074129397612344E-2"/>
                  <c:y val="4.196245941281048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378-4607-90A9-CAD658BE2D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'Grupo 3 GNL Promedio'!$E$10:$E$13</c:f>
              <c:strCache>
                <c:ptCount val="4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</c:strCache>
            </c:strRef>
          </c:cat>
          <c:val>
            <c:numRef>
              <c:f>'Grupo 3 GNL Promedio'!$R$10:$R$13</c:f>
              <c:numCache>
                <c:formatCode>0.00</c:formatCode>
                <c:ptCount val="4"/>
                <c:pt idx="0">
                  <c:v>27.184987548380299</c:v>
                </c:pt>
                <c:pt idx="1">
                  <c:v>20.842061273201011</c:v>
                </c:pt>
                <c:pt idx="2">
                  <c:v>17.917434734115165</c:v>
                </c:pt>
                <c:pt idx="3">
                  <c:v>13.299618809678362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378-4607-90A9-CAD658BE2DBF}"/>
            </c:ext>
          </c:extLst>
        </c:ser>
        <c:ser>
          <c:idx val="1"/>
          <c:order val="1"/>
          <c:tx>
            <c:v>ATR Circular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4.3735272837716187E-2"/>
                  <c:y val="4.45727022416575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78-4607-90A9-CAD658BE2DBF}"/>
                </c:ext>
              </c:extLst>
            </c:dLbl>
            <c:dLbl>
              <c:idx val="2"/>
              <c:layout>
                <c:manualLayout>
                  <c:x val="-3.733496103283232E-2"/>
                  <c:y val="-5.22835221044940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378-4607-90A9-CAD658BE2DB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2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'Grupo 3 GNL Promedio'!$E$10:$E$13</c:f>
              <c:strCache>
                <c:ptCount val="4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</c:strCache>
            </c:strRef>
          </c:cat>
          <c:val>
            <c:numRef>
              <c:f>'Grupo 3 GNL Promedio'!$AJ$10:$AJ$13</c:f>
              <c:numCache>
                <c:formatCode>0.00</c:formatCode>
                <c:ptCount val="4"/>
                <c:pt idx="0">
                  <c:v>16.937539434681909</c:v>
                </c:pt>
                <c:pt idx="1">
                  <c:v>19.101228761853108</c:v>
                </c:pt>
                <c:pt idx="2">
                  <c:v>20.245022800870846</c:v>
                </c:pt>
                <c:pt idx="3">
                  <c:v>18.662408342874258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378-4607-90A9-CAD658BE2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50560"/>
        <c:axId val="189273216"/>
      </c:lineChart>
      <c:catAx>
        <c:axId val="1892505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 Grupo 3</a:t>
                </a:r>
              </a:p>
            </c:rich>
          </c:tx>
          <c:layout>
            <c:manualLayout>
              <c:xMode val="edge"/>
              <c:yMode val="edge"/>
              <c:x val="0.44897047659986333"/>
              <c:y val="0.9028363142586716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9273216"/>
        <c:crossesAt val="0"/>
        <c:auto val="1"/>
        <c:lblAlgn val="ctr"/>
        <c:lblOffset val="100"/>
        <c:noMultiLvlLbl val="0"/>
      </c:catAx>
      <c:valAx>
        <c:axId val="189273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925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l-GR" sz="1400" b="1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 b="1">
                <a:solidFill>
                  <a:schemeClr val="tx1">
                    <a:lumMod val="75000"/>
                    <a:lumOff val="25000"/>
                  </a:schemeClr>
                </a:solidFill>
              </a:rPr>
              <a:t> €/MWh ATR Grupo 3 GNL Promedio</a:t>
            </a:r>
            <a:r>
              <a:rPr lang="en-US" sz="1400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(excepto 3.5)</a:t>
            </a:r>
            <a:endParaRPr lang="en-US" sz="1400" b="1">
              <a:solidFill>
                <a:schemeClr val="tx1">
                  <a:lumMod val="75000"/>
                  <a:lumOff val="25000"/>
                </a:schemeClr>
              </a:solidFill>
            </a:endParaRPr>
          </a:p>
        </c:rich>
      </c:tx>
      <c:layout>
        <c:manualLayout>
          <c:xMode val="edge"/>
          <c:yMode val="edge"/>
          <c:x val="0.1882196696927127"/>
          <c:y val="3.337041156840934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'Grupo 3 GNL Promedio'!$AP$9</c:f>
              <c:strCache>
                <c:ptCount val="1"/>
                <c:pt idx="0">
                  <c:v>D €/MWh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809-4EF1-837A-7FD662F78963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809-4EF1-837A-7FD662F78963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5809-4EF1-837A-7FD662F78963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5809-4EF1-837A-7FD662F78963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5809-4EF1-837A-7FD662F78963}"/>
              </c:ext>
            </c:extLst>
          </c:dPt>
          <c:dPt>
            <c:idx val="3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5809-4EF1-837A-7FD662F78963}"/>
              </c:ext>
            </c:extLst>
          </c:dPt>
          <c:dPt>
            <c:idx val="3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5809-4EF1-837A-7FD662F78963}"/>
              </c:ext>
            </c:extLst>
          </c:dPt>
          <c:dPt>
            <c:idx val="3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8-5809-4EF1-837A-7FD662F78963}"/>
              </c:ext>
            </c:extLst>
          </c:dPt>
          <c:dPt>
            <c:idx val="3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5809-4EF1-837A-7FD662F78963}"/>
              </c:ext>
            </c:extLst>
          </c:dPt>
          <c:dPt>
            <c:idx val="3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5809-4EF1-837A-7FD662F78963}"/>
              </c:ext>
            </c:extLst>
          </c:dPt>
          <c:dLbls>
            <c:dLbl>
              <c:idx val="0"/>
              <c:numFmt formatCode="#,##0.00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'Grupo 3 GNL Promedio'!$E$10:$E$13</c:f>
              <c:strCache>
                <c:ptCount val="4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</c:strCache>
            </c:strRef>
          </c:cat>
          <c:val>
            <c:numRef>
              <c:f>'Grupo 3 GNL Promedio'!$AP$10:$AP$13</c:f>
              <c:numCache>
                <c:formatCode>#,##0.00</c:formatCode>
                <c:ptCount val="4"/>
                <c:pt idx="0">
                  <c:v>-10.24744811369839</c:v>
                </c:pt>
                <c:pt idx="1">
                  <c:v>-1.7408325113479037</c:v>
                </c:pt>
                <c:pt idx="2">
                  <c:v>2.3275880667556805</c:v>
                </c:pt>
                <c:pt idx="3">
                  <c:v>5.3627895331958957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809-4EF1-837A-7FD662F78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189472768"/>
        <c:axId val="189474688"/>
      </c:barChart>
      <c:catAx>
        <c:axId val="189472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Peajes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Grupo 3 conectados a PS GNL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354024400157945"/>
              <c:y val="0.9259210229402244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9474688"/>
        <c:crossesAt val="0"/>
        <c:auto val="1"/>
        <c:lblAlgn val="ctr"/>
        <c:lblOffset val="100"/>
        <c:noMultiLvlLbl val="0"/>
      </c:catAx>
      <c:valAx>
        <c:axId val="18947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947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€/año ATR Peaje 3.5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'Peaje 3.5'!$AZ$9</c:f>
              <c:strCache>
                <c:ptCount val="1"/>
                <c:pt idx="0">
                  <c:v>D €/año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B3B-4080-8C40-DA7067E12B0F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B3B-4080-8C40-DA7067E12B0F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B3B-4080-8C40-DA7067E12B0F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3B-4080-8C40-DA7067E12B0F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B3B-4080-8C40-DA7067E12B0F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B3B-4080-8C40-DA7067E12B0F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B3B-4080-8C40-DA7067E12B0F}"/>
              </c:ext>
            </c:extLst>
          </c:dPt>
          <c:dLbls>
            <c:dLbl>
              <c:idx val="7"/>
              <c:numFmt formatCode="#,##0\ &quot;€&quot;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numFmt formatCode="#,##0\ &quot;€&quot;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numFmt formatCode="#,##0\ &quot;€&quot;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numFmt formatCode="#,##0\ &quot;€&quot;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\ &quot;€&quot;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numFmt formatCode="#,##0\ &quot;€&quot;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numFmt formatCode="#,##0\ &quot;€&quot;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'Peaje 3.5'!$B$10:$B$23</c:f>
              <c:numCache>
                <c:formatCode>#,##0</c:formatCode>
                <c:ptCount val="14"/>
                <c:pt idx="0">
                  <c:v>8250</c:v>
                </c:pt>
                <c:pt idx="1">
                  <c:v>8500</c:v>
                </c:pt>
                <c:pt idx="2">
                  <c:v>9000</c:v>
                </c:pt>
                <c:pt idx="3">
                  <c:v>9500</c:v>
                </c:pt>
                <c:pt idx="4">
                  <c:v>10000</c:v>
                </c:pt>
                <c:pt idx="5">
                  <c:v>12500</c:v>
                </c:pt>
                <c:pt idx="6">
                  <c:v>15000</c:v>
                </c:pt>
                <c:pt idx="7">
                  <c:v>15614</c:v>
                </c:pt>
                <c:pt idx="8">
                  <c:v>17500</c:v>
                </c:pt>
                <c:pt idx="9">
                  <c:v>20000</c:v>
                </c:pt>
                <c:pt idx="10">
                  <c:v>22500</c:v>
                </c:pt>
                <c:pt idx="11">
                  <c:v>25000</c:v>
                </c:pt>
                <c:pt idx="12">
                  <c:v>27500</c:v>
                </c:pt>
                <c:pt idx="13">
                  <c:v>30000</c:v>
                </c:pt>
              </c:numCache>
            </c:numRef>
          </c:cat>
          <c:val>
            <c:numRef>
              <c:f>'Peaje 3.5'!$AZ$10:$AZ$23</c:f>
              <c:numCache>
                <c:formatCode>#,##0.00\ "€"</c:formatCode>
                <c:ptCount val="14"/>
                <c:pt idx="0">
                  <c:v>997.29204443593335</c:v>
                </c:pt>
                <c:pt idx="1">
                  <c:v>1027.513015479446</c:v>
                </c:pt>
                <c:pt idx="2">
                  <c:v>1087.9549575664787</c:v>
                </c:pt>
                <c:pt idx="3">
                  <c:v>1148.3968996535041</c:v>
                </c:pt>
                <c:pt idx="4">
                  <c:v>1208.8388417405222</c:v>
                </c:pt>
                <c:pt idx="5">
                  <c:v>1511.0485521756636</c:v>
                </c:pt>
                <c:pt idx="6">
                  <c:v>1813.2582626107906</c:v>
                </c:pt>
                <c:pt idx="7">
                  <c:v>-25112.474304706164</c:v>
                </c:pt>
                <c:pt idx="8">
                  <c:v>-28145.785854512491</c:v>
                </c:pt>
                <c:pt idx="9">
                  <c:v>-32166.612405157139</c:v>
                </c:pt>
                <c:pt idx="10">
                  <c:v>-36187.438955801772</c:v>
                </c:pt>
                <c:pt idx="11">
                  <c:v>-40208.265506446405</c:v>
                </c:pt>
                <c:pt idx="12">
                  <c:v>-44229.092057091053</c:v>
                </c:pt>
                <c:pt idx="13">
                  <c:v>-48249.918607735701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C1-45F2-BF34-F898F3607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189463936"/>
        <c:axId val="189871616"/>
      </c:barChart>
      <c:catAx>
        <c:axId val="189463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MWh/año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311625440759305"/>
              <c:y val="0.91666652068936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cross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9871616"/>
        <c:crossesAt val="0"/>
        <c:auto val="1"/>
        <c:lblAlgn val="ctr"/>
        <c:lblOffset val="100"/>
        <c:noMultiLvlLbl val="0"/>
      </c:catAx>
      <c:valAx>
        <c:axId val="189871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94639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ATR 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Peaje 3.5</a:t>
            </a:r>
          </a:p>
        </c:rich>
      </c:tx>
      <c:layout>
        <c:manualLayout>
          <c:xMode val="edge"/>
          <c:yMode val="edge"/>
          <c:x val="0.4034578859460749"/>
          <c:y val="2.2246941045606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'Peaje 3.5'!$AZ$9</c:f>
              <c:strCache>
                <c:ptCount val="1"/>
                <c:pt idx="0">
                  <c:v>D €/año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6A-4C55-9B1C-8C26B87C8242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6A-4C55-9B1C-8C26B87C8242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6A-4C55-9B1C-8C26B87C8242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6A-4C55-9B1C-8C26B87C8242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36A-4C55-9B1C-8C26B87C8242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36A-4C55-9B1C-8C26B87C8242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6A-4C55-9B1C-8C26B87C8242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6A-4C55-9B1C-8C26B87C8242}"/>
                </c:ext>
              </c:extLst>
            </c:dLbl>
            <c:dLbl>
              <c:idx val="9"/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6A-4C55-9B1C-8C26B87C8242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6A-4C55-9B1C-8C26B87C8242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6A-4C55-9B1C-8C26B87C8242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CF-48E5-A2EF-8EF51DCD5BD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'Peaje 3.5'!$B$10:$B$23</c:f>
              <c:numCache>
                <c:formatCode>#,##0</c:formatCode>
                <c:ptCount val="14"/>
                <c:pt idx="0">
                  <c:v>8250</c:v>
                </c:pt>
                <c:pt idx="1">
                  <c:v>8500</c:v>
                </c:pt>
                <c:pt idx="2">
                  <c:v>9000</c:v>
                </c:pt>
                <c:pt idx="3">
                  <c:v>9500</c:v>
                </c:pt>
                <c:pt idx="4">
                  <c:v>10000</c:v>
                </c:pt>
                <c:pt idx="5">
                  <c:v>12500</c:v>
                </c:pt>
                <c:pt idx="6">
                  <c:v>15000</c:v>
                </c:pt>
                <c:pt idx="7">
                  <c:v>15614</c:v>
                </c:pt>
                <c:pt idx="8">
                  <c:v>17500</c:v>
                </c:pt>
                <c:pt idx="9">
                  <c:v>20000</c:v>
                </c:pt>
                <c:pt idx="10">
                  <c:v>22500</c:v>
                </c:pt>
                <c:pt idx="11">
                  <c:v>25000</c:v>
                </c:pt>
                <c:pt idx="12">
                  <c:v>27500</c:v>
                </c:pt>
                <c:pt idx="13">
                  <c:v>30000</c:v>
                </c:pt>
              </c:numCache>
            </c:numRef>
          </c:cat>
          <c:val>
            <c:numRef>
              <c:f>'Peaje 3.5'!$BA$10:$BA$23</c:f>
              <c:numCache>
                <c:formatCode>0%</c:formatCode>
                <c:ptCount val="14"/>
                <c:pt idx="0">
                  <c:v>2.1601234336909497E-2</c:v>
                </c:pt>
                <c:pt idx="1">
                  <c:v>2.1601234336909487E-2</c:v>
                </c:pt>
                <c:pt idx="2">
                  <c:v>2.1601234336909615E-2</c:v>
                </c:pt>
                <c:pt idx="3">
                  <c:v>2.1601234336909594E-2</c:v>
                </c:pt>
                <c:pt idx="4">
                  <c:v>2.1601234336909442E-2</c:v>
                </c:pt>
                <c:pt idx="5">
                  <c:v>2.1601234336909598E-2</c:v>
                </c:pt>
                <c:pt idx="6">
                  <c:v>2.1601234336909528E-2</c:v>
                </c:pt>
                <c:pt idx="7">
                  <c:v>-0.28739915876126548</c:v>
                </c:pt>
                <c:pt idx="8">
                  <c:v>-0.28739915876126559</c:v>
                </c:pt>
                <c:pt idx="9">
                  <c:v>-0.28739915876126565</c:v>
                </c:pt>
                <c:pt idx="10">
                  <c:v>-0.28739915876126554</c:v>
                </c:pt>
                <c:pt idx="11">
                  <c:v>-0.28739915876126548</c:v>
                </c:pt>
                <c:pt idx="12">
                  <c:v>-0.28739915876126554</c:v>
                </c:pt>
                <c:pt idx="13">
                  <c:v>-0.28739915876126559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2E-4C6B-8902-967E40CE0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193024"/>
        <c:axId val="190195200"/>
      </c:lineChart>
      <c:catAx>
        <c:axId val="190193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 MWh/año</a:t>
                </a:r>
              </a:p>
            </c:rich>
          </c:tx>
          <c:layout>
            <c:manualLayout>
              <c:xMode val="edge"/>
              <c:yMode val="edge"/>
              <c:x val="0.36579461240334976"/>
              <c:y val="0.9182604361467573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90195200"/>
        <c:crossesAt val="0"/>
        <c:auto val="1"/>
        <c:lblAlgn val="ctr"/>
        <c:lblOffset val="100"/>
        <c:noMultiLvlLbl val="0"/>
      </c:catAx>
      <c:valAx>
        <c:axId val="19019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90193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€/MWh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Peajes ATR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Peaje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3.5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33200773015431539"/>
          <c:y val="2.22468994444748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ATR Actual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3BE-4663-AFE0-397FE5E47951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3BE-4663-AFE0-397FE5E47951}"/>
                </c:ext>
              </c:extLst>
            </c:dLbl>
            <c:dLbl>
              <c:idx val="2"/>
              <c:layout>
                <c:manualLayout>
                  <c:x val="-3.5074216514653089E-2"/>
                  <c:y val="4.63646328096455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13BE-4663-AFE0-397FE5E47951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3BE-4663-AFE0-397FE5E47951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3BE-4663-AFE0-397FE5E47951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3BE-4663-AFE0-397FE5E47951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13BE-4663-AFE0-397FE5E47951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3BE-4663-AFE0-397FE5E47951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13BE-4663-AFE0-397FE5E47951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13BE-4663-AFE0-397FE5E47951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13BE-4663-AFE0-397FE5E47951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13BE-4663-AFE0-397FE5E479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'Peaje 3.5'!$B$10:$B$23</c:f>
              <c:numCache>
                <c:formatCode>#,##0</c:formatCode>
                <c:ptCount val="14"/>
                <c:pt idx="0">
                  <c:v>8250</c:v>
                </c:pt>
                <c:pt idx="1">
                  <c:v>8500</c:v>
                </c:pt>
                <c:pt idx="2">
                  <c:v>9000</c:v>
                </c:pt>
                <c:pt idx="3">
                  <c:v>9500</c:v>
                </c:pt>
                <c:pt idx="4">
                  <c:v>10000</c:v>
                </c:pt>
                <c:pt idx="5">
                  <c:v>12500</c:v>
                </c:pt>
                <c:pt idx="6">
                  <c:v>15000</c:v>
                </c:pt>
                <c:pt idx="7">
                  <c:v>15614</c:v>
                </c:pt>
                <c:pt idx="8">
                  <c:v>17500</c:v>
                </c:pt>
                <c:pt idx="9">
                  <c:v>20000</c:v>
                </c:pt>
                <c:pt idx="10">
                  <c:v>22500</c:v>
                </c:pt>
                <c:pt idx="11">
                  <c:v>25000</c:v>
                </c:pt>
                <c:pt idx="12">
                  <c:v>27500</c:v>
                </c:pt>
                <c:pt idx="13">
                  <c:v>30000</c:v>
                </c:pt>
              </c:numCache>
            </c:numRef>
          </c:cat>
          <c:val>
            <c:numRef>
              <c:f>'Peaje 3.5'!$S$10:$S$23</c:f>
              <c:numCache>
                <c:formatCode>0.00</c:formatCode>
                <c:ptCount val="14"/>
                <c:pt idx="0">
                  <c:v>5.5961563255439168</c:v>
                </c:pt>
                <c:pt idx="1">
                  <c:v>5.5961563255439168</c:v>
                </c:pt>
                <c:pt idx="2">
                  <c:v>5.596156325543916</c:v>
                </c:pt>
                <c:pt idx="3">
                  <c:v>5.596156325543916</c:v>
                </c:pt>
                <c:pt idx="4">
                  <c:v>5.596156325543916</c:v>
                </c:pt>
                <c:pt idx="5">
                  <c:v>5.596156325543916</c:v>
                </c:pt>
                <c:pt idx="6">
                  <c:v>5.596156325543916</c:v>
                </c:pt>
                <c:pt idx="7">
                  <c:v>5.596156325543916</c:v>
                </c:pt>
                <c:pt idx="8">
                  <c:v>5.596156325543916</c:v>
                </c:pt>
                <c:pt idx="9">
                  <c:v>5.596156325543916</c:v>
                </c:pt>
                <c:pt idx="10">
                  <c:v>5.596156325543916</c:v>
                </c:pt>
                <c:pt idx="11">
                  <c:v>5.596156325543916</c:v>
                </c:pt>
                <c:pt idx="12">
                  <c:v>5.596156325543916</c:v>
                </c:pt>
                <c:pt idx="13">
                  <c:v>5.596156325543916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3BE-4663-AFE0-397FE5E47951}"/>
            </c:ext>
          </c:extLst>
        </c:ser>
        <c:ser>
          <c:idx val="1"/>
          <c:order val="1"/>
          <c:tx>
            <c:v>ATR Circular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3BE-4663-AFE0-397FE5E47951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3BE-4663-AFE0-397FE5E47951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3BE-4663-AFE0-397FE5E47951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3BE-4663-AFE0-397FE5E47951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3BE-4663-AFE0-397FE5E47951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3BE-4663-AFE0-397FE5E47951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3BE-4663-AFE0-397FE5E47951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3BE-4663-AFE0-397FE5E47951}"/>
                </c:ext>
              </c:extLst>
            </c:dLbl>
            <c:dLbl>
              <c:idx val="9"/>
              <c:layout>
                <c:manualLayout>
                  <c:x val="-3.5074216514653235E-2"/>
                  <c:y val="5.00182681768358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3BE-4663-AFE0-397FE5E47951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3BE-4663-AFE0-397FE5E47951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3BE-4663-AFE0-397FE5E47951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3BE-4663-AFE0-397FE5E47951}"/>
                </c:ext>
              </c:extLst>
            </c:dLbl>
            <c:dLbl>
              <c:idx val="13"/>
              <c:layout>
                <c:manualLayout>
                  <c:x val="-2.6733432019347331E-2"/>
                  <c:y val="3.86507225411345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2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'Peaje 3.5'!$B$10:$B$23</c:f>
              <c:numCache>
                <c:formatCode>#,##0</c:formatCode>
                <c:ptCount val="14"/>
                <c:pt idx="0">
                  <c:v>8250</c:v>
                </c:pt>
                <c:pt idx="1">
                  <c:v>8500</c:v>
                </c:pt>
                <c:pt idx="2">
                  <c:v>9000</c:v>
                </c:pt>
                <c:pt idx="3">
                  <c:v>9500</c:v>
                </c:pt>
                <c:pt idx="4">
                  <c:v>10000</c:v>
                </c:pt>
                <c:pt idx="5">
                  <c:v>12500</c:v>
                </c:pt>
                <c:pt idx="6">
                  <c:v>15000</c:v>
                </c:pt>
                <c:pt idx="7">
                  <c:v>15614</c:v>
                </c:pt>
                <c:pt idx="8">
                  <c:v>17500</c:v>
                </c:pt>
                <c:pt idx="9">
                  <c:v>20000</c:v>
                </c:pt>
                <c:pt idx="10">
                  <c:v>22500</c:v>
                </c:pt>
                <c:pt idx="11">
                  <c:v>25000</c:v>
                </c:pt>
                <c:pt idx="12">
                  <c:v>27500</c:v>
                </c:pt>
                <c:pt idx="13">
                  <c:v>30000</c:v>
                </c:pt>
              </c:numCache>
            </c:numRef>
          </c:cat>
          <c:val>
            <c:numRef>
              <c:f>'Peaje 3.5'!$AU$10:$AU$23</c:f>
              <c:numCache>
                <c:formatCode>0.00</c:formatCode>
                <c:ptCount val="14"/>
                <c:pt idx="0">
                  <c:v>5.7170402097179691</c:v>
                </c:pt>
                <c:pt idx="1">
                  <c:v>5.7170402097179691</c:v>
                </c:pt>
                <c:pt idx="2">
                  <c:v>5.7170402097179691</c:v>
                </c:pt>
                <c:pt idx="3">
                  <c:v>5.7170402097179691</c:v>
                </c:pt>
                <c:pt idx="4">
                  <c:v>5.7170402097179682</c:v>
                </c:pt>
                <c:pt idx="5">
                  <c:v>5.7170402097179691</c:v>
                </c:pt>
                <c:pt idx="6">
                  <c:v>5.7170402097179691</c:v>
                </c:pt>
                <c:pt idx="7">
                  <c:v>3.9878257052860602</c:v>
                </c:pt>
                <c:pt idx="8">
                  <c:v>3.9878257052860597</c:v>
                </c:pt>
                <c:pt idx="9">
                  <c:v>3.9878257052860593</c:v>
                </c:pt>
                <c:pt idx="10">
                  <c:v>3.9878257052860597</c:v>
                </c:pt>
                <c:pt idx="11">
                  <c:v>3.9878257052860602</c:v>
                </c:pt>
                <c:pt idx="12">
                  <c:v>3.9878257052860597</c:v>
                </c:pt>
                <c:pt idx="13">
                  <c:v>3.9878257052860597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3BE-4663-AFE0-397FE5E47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265216"/>
        <c:axId val="189927424"/>
      </c:lineChart>
      <c:catAx>
        <c:axId val="1902652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 MWh/año</a:t>
                </a:r>
              </a:p>
            </c:rich>
          </c:tx>
          <c:layout>
            <c:manualLayout>
              <c:xMode val="edge"/>
              <c:yMode val="edge"/>
              <c:x val="0.38433481959333399"/>
              <c:y val="0.9028363390060113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9927424"/>
        <c:crossesAt val="0"/>
        <c:auto val="1"/>
        <c:lblAlgn val="ctr"/>
        <c:lblOffset val="100"/>
        <c:noMultiLvlLbl val="0"/>
      </c:catAx>
      <c:valAx>
        <c:axId val="189927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90265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€/MWh ATR Peaje 3.5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'Peaje 3.5'!$BB$9</c:f>
              <c:strCache>
                <c:ptCount val="1"/>
                <c:pt idx="0">
                  <c:v>D €/MWh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7B0-4A80-9EFF-924087D61493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7B0-4A80-9EFF-924087D61493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7B0-4A80-9EFF-924087D61493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7B0-4A80-9EFF-924087D61493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97B0-4A80-9EFF-924087D61493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7B0-4A80-9EFF-924087D61493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7B0-4A80-9EFF-924087D61493}"/>
              </c:ext>
            </c:extLst>
          </c:dPt>
          <c:dLbls>
            <c:dLbl>
              <c:idx val="7"/>
              <c:numFmt formatCode="#,##0.00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numFmt formatCode="#,##0.00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numFmt formatCode="#,##0.00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numFmt formatCode="#,##0.00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.00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numFmt formatCode="#,##0.00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'Peaje 3.5'!$B$10:$B$23</c:f>
              <c:numCache>
                <c:formatCode>#,##0</c:formatCode>
                <c:ptCount val="14"/>
                <c:pt idx="0">
                  <c:v>8250</c:v>
                </c:pt>
                <c:pt idx="1">
                  <c:v>8500</c:v>
                </c:pt>
                <c:pt idx="2">
                  <c:v>9000</c:v>
                </c:pt>
                <c:pt idx="3">
                  <c:v>9500</c:v>
                </c:pt>
                <c:pt idx="4">
                  <c:v>10000</c:v>
                </c:pt>
                <c:pt idx="5">
                  <c:v>12500</c:v>
                </c:pt>
                <c:pt idx="6">
                  <c:v>15000</c:v>
                </c:pt>
                <c:pt idx="7">
                  <c:v>15614</c:v>
                </c:pt>
                <c:pt idx="8">
                  <c:v>17500</c:v>
                </c:pt>
                <c:pt idx="9">
                  <c:v>20000</c:v>
                </c:pt>
                <c:pt idx="10">
                  <c:v>22500</c:v>
                </c:pt>
                <c:pt idx="11">
                  <c:v>25000</c:v>
                </c:pt>
                <c:pt idx="12">
                  <c:v>27500</c:v>
                </c:pt>
                <c:pt idx="13">
                  <c:v>30000</c:v>
                </c:pt>
              </c:numCache>
            </c:numRef>
          </c:cat>
          <c:val>
            <c:numRef>
              <c:f>'Peaje 3.5'!$BB$10:$BB$23</c:f>
              <c:numCache>
                <c:formatCode>#,##0.00</c:formatCode>
                <c:ptCount val="14"/>
                <c:pt idx="0">
                  <c:v>0.12088388417405227</c:v>
                </c:pt>
                <c:pt idx="1">
                  <c:v>0.12088388417405227</c:v>
                </c:pt>
                <c:pt idx="2">
                  <c:v>0.12088388417405316</c:v>
                </c:pt>
                <c:pt idx="3">
                  <c:v>0.12088388417405316</c:v>
                </c:pt>
                <c:pt idx="4">
                  <c:v>0.12088388417405227</c:v>
                </c:pt>
                <c:pt idx="5">
                  <c:v>0.12088388417405316</c:v>
                </c:pt>
                <c:pt idx="6">
                  <c:v>0.12088388417405316</c:v>
                </c:pt>
                <c:pt idx="7">
                  <c:v>-1.6083306202578558</c:v>
                </c:pt>
                <c:pt idx="8">
                  <c:v>-1.6083306202578562</c:v>
                </c:pt>
                <c:pt idx="9">
                  <c:v>-1.6083306202578567</c:v>
                </c:pt>
                <c:pt idx="10">
                  <c:v>-1.6083306202578562</c:v>
                </c:pt>
                <c:pt idx="11">
                  <c:v>-1.6083306202578558</c:v>
                </c:pt>
                <c:pt idx="12">
                  <c:v>-1.6083306202578562</c:v>
                </c:pt>
                <c:pt idx="13">
                  <c:v>-1.6083306202578562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97B0-4A80-9EFF-924087D614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189982208"/>
        <c:axId val="189984128"/>
      </c:barChart>
      <c:catAx>
        <c:axId val="1899822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MWh/año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311625440759305"/>
              <c:y val="0.91666652068936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cross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9984128"/>
        <c:crossesAt val="0"/>
        <c:auto val="1"/>
        <c:lblAlgn val="ctr"/>
        <c:lblOffset val="100"/>
        <c:noMultiLvlLbl val="0"/>
      </c:catAx>
      <c:valAx>
        <c:axId val="18998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.0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9982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€/año ATR Peaje 3.5 (35% Consumo</a:t>
            </a:r>
            <a:r>
              <a:rPr lang="en-US" sz="14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nocturno)</a:t>
            </a:r>
            <a:endParaRPr lang="en-US" sz="140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'Peaje 3.5 Nocturno'!$AZ$9</c:f>
              <c:strCache>
                <c:ptCount val="1"/>
                <c:pt idx="0">
                  <c:v>D €/año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B3B-4080-8C40-DA7067E12B0F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B3B-4080-8C40-DA7067E12B0F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B3B-4080-8C40-DA7067E12B0F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B3B-4080-8C40-DA7067E12B0F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B3B-4080-8C40-DA7067E12B0F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B3B-4080-8C40-DA7067E12B0F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B3B-4080-8C40-DA7067E12B0F}"/>
              </c:ext>
            </c:extLst>
          </c:dPt>
          <c:dLbls>
            <c:dLbl>
              <c:idx val="7"/>
              <c:numFmt formatCode="#,##0\ &quot;€&quot;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numFmt formatCode="#,##0\ &quot;€&quot;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numFmt formatCode="#,##0\ &quot;€&quot;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numFmt formatCode="#,##0\ &quot;€&quot;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\ &quot;€&quot;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numFmt formatCode="#,##0\ &quot;€&quot;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numFmt formatCode="#,##0\ &quot;€&quot;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'Peaje 3.5 Nocturno'!$B$10:$B$23</c:f>
              <c:numCache>
                <c:formatCode>#,##0</c:formatCode>
                <c:ptCount val="14"/>
                <c:pt idx="0">
                  <c:v>8250</c:v>
                </c:pt>
                <c:pt idx="1">
                  <c:v>8500</c:v>
                </c:pt>
                <c:pt idx="2">
                  <c:v>9000</c:v>
                </c:pt>
                <c:pt idx="3">
                  <c:v>9500</c:v>
                </c:pt>
                <c:pt idx="4">
                  <c:v>10000</c:v>
                </c:pt>
                <c:pt idx="5">
                  <c:v>12500</c:v>
                </c:pt>
                <c:pt idx="6">
                  <c:v>15000</c:v>
                </c:pt>
                <c:pt idx="7">
                  <c:v>15614</c:v>
                </c:pt>
                <c:pt idx="8">
                  <c:v>17500</c:v>
                </c:pt>
                <c:pt idx="9">
                  <c:v>20000</c:v>
                </c:pt>
                <c:pt idx="10">
                  <c:v>22500</c:v>
                </c:pt>
                <c:pt idx="11">
                  <c:v>25000</c:v>
                </c:pt>
                <c:pt idx="12">
                  <c:v>27500</c:v>
                </c:pt>
                <c:pt idx="13">
                  <c:v>30000</c:v>
                </c:pt>
              </c:numCache>
            </c:numRef>
          </c:cat>
          <c:val>
            <c:numRef>
              <c:f>'Peaje 3.5 Nocturno'!$AZ$10:$AZ$23</c:f>
              <c:numCache>
                <c:formatCode>#,##0.00\ "€"</c:formatCode>
                <c:ptCount val="14"/>
                <c:pt idx="0">
                  <c:v>4306.3810049516469</c:v>
                </c:pt>
                <c:pt idx="1">
                  <c:v>4436.8773990410846</c:v>
                </c:pt>
                <c:pt idx="2">
                  <c:v>4697.8701872199817</c:v>
                </c:pt>
                <c:pt idx="3">
                  <c:v>4958.8629753988716</c:v>
                </c:pt>
                <c:pt idx="4">
                  <c:v>5219.8557635777543</c:v>
                </c:pt>
                <c:pt idx="5">
                  <c:v>6524.8197044721965</c:v>
                </c:pt>
                <c:pt idx="6">
                  <c:v>7829.7836453666387</c:v>
                </c:pt>
                <c:pt idx="7">
                  <c:v>-18849.672482949522</c:v>
                </c:pt>
                <c:pt idx="8">
                  <c:v>-21126.506241297349</c:v>
                </c:pt>
                <c:pt idx="9">
                  <c:v>-24144.578561482675</c:v>
                </c:pt>
                <c:pt idx="10">
                  <c:v>-27162.650881668</c:v>
                </c:pt>
                <c:pt idx="11">
                  <c:v>-30180.72320185334</c:v>
                </c:pt>
                <c:pt idx="12">
                  <c:v>-33198.795522038694</c:v>
                </c:pt>
                <c:pt idx="13">
                  <c:v>-36216.867842224005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CC1-45F2-BF34-F898F3607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190089472"/>
        <c:axId val="187572608"/>
      </c:barChart>
      <c:catAx>
        <c:axId val="190089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MWh/año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311625440759305"/>
              <c:y val="0.91666652068936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cross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7572608"/>
        <c:crossesAt val="0"/>
        <c:auto val="1"/>
        <c:lblAlgn val="ctr"/>
        <c:lblOffset val="100"/>
        <c:noMultiLvlLbl val="0"/>
      </c:catAx>
      <c:valAx>
        <c:axId val="187572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90089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ATR 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Peaje 3.5 (35%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Consum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o nocturno)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25212611135472474"/>
          <c:y val="2.2246941045606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'Peaje 3.5 Nocturno'!$AZ$9</c:f>
              <c:strCache>
                <c:ptCount val="1"/>
                <c:pt idx="0">
                  <c:v>D €/año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62-4A5E-B89F-FE10A5B1960C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62-4A5E-B89F-FE10A5B1960C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62-4A5E-B89F-FE10A5B1960C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B62-4A5E-B89F-FE10A5B1960C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B62-4A5E-B89F-FE10A5B1960C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B62-4A5E-B89F-FE10A5B1960C}"/>
                </c:ext>
              </c:extLst>
            </c:dLbl>
            <c:dLbl>
              <c:idx val="7"/>
              <c:layout>
                <c:manualLayout>
                  <c:x val="-6.6120216256377956E-2"/>
                  <c:y val="-1.1101703541810126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B62-4A5E-B89F-FE10A5B1960C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62-4A5E-B89F-FE10A5B1960C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62-4A5E-B89F-FE10A5B1960C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62-4A5E-B89F-FE10A5B1960C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62-4A5E-B89F-FE10A5B1960C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62-4A5E-B89F-FE10A5B1960C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4E-4876-B8E1-E8BFE54F71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'Peaje 3.5 Nocturno'!$B$10:$B$23</c:f>
              <c:numCache>
                <c:formatCode>#,##0</c:formatCode>
                <c:ptCount val="14"/>
                <c:pt idx="0">
                  <c:v>8250</c:v>
                </c:pt>
                <c:pt idx="1">
                  <c:v>8500</c:v>
                </c:pt>
                <c:pt idx="2">
                  <c:v>9000</c:v>
                </c:pt>
                <c:pt idx="3">
                  <c:v>9500</c:v>
                </c:pt>
                <c:pt idx="4">
                  <c:v>10000</c:v>
                </c:pt>
                <c:pt idx="5">
                  <c:v>12500</c:v>
                </c:pt>
                <c:pt idx="6">
                  <c:v>15000</c:v>
                </c:pt>
                <c:pt idx="7">
                  <c:v>15614</c:v>
                </c:pt>
                <c:pt idx="8">
                  <c:v>17500</c:v>
                </c:pt>
                <c:pt idx="9">
                  <c:v>20000</c:v>
                </c:pt>
                <c:pt idx="10">
                  <c:v>22500</c:v>
                </c:pt>
                <c:pt idx="11">
                  <c:v>25000</c:v>
                </c:pt>
                <c:pt idx="12">
                  <c:v>27500</c:v>
                </c:pt>
                <c:pt idx="13">
                  <c:v>30000</c:v>
                </c:pt>
              </c:numCache>
            </c:numRef>
          </c:cat>
          <c:val>
            <c:numRef>
              <c:f>'Peaje 3.5 Nocturno'!$BA$10:$BA$23</c:f>
              <c:numCache>
                <c:formatCode>0%</c:formatCode>
                <c:ptCount val="14"/>
                <c:pt idx="0">
                  <c:v>0.10047739883346556</c:v>
                </c:pt>
                <c:pt idx="1">
                  <c:v>0.1004773988334654</c:v>
                </c:pt>
                <c:pt idx="2">
                  <c:v>0.10047739883346564</c:v>
                </c:pt>
                <c:pt idx="3">
                  <c:v>0.10047739883346568</c:v>
                </c:pt>
                <c:pt idx="4">
                  <c:v>0.10047739883346558</c:v>
                </c:pt>
                <c:pt idx="5">
                  <c:v>0.10047739883346563</c:v>
                </c:pt>
                <c:pt idx="6">
                  <c:v>0.10047739883346567</c:v>
                </c:pt>
                <c:pt idx="7">
                  <c:v>-0.23238041046226501</c:v>
                </c:pt>
                <c:pt idx="8">
                  <c:v>-0.23238041046226515</c:v>
                </c:pt>
                <c:pt idx="9">
                  <c:v>-0.2323804104622651</c:v>
                </c:pt>
                <c:pt idx="10">
                  <c:v>-0.23238041046226501</c:v>
                </c:pt>
                <c:pt idx="11">
                  <c:v>-0.23238041046226504</c:v>
                </c:pt>
                <c:pt idx="12">
                  <c:v>-0.23238041046226515</c:v>
                </c:pt>
                <c:pt idx="13">
                  <c:v>-0.23238041046226504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2E-4C6B-8902-967E40CE0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7614720"/>
        <c:axId val="187616640"/>
      </c:lineChart>
      <c:catAx>
        <c:axId val="187614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 MWh/año</a:t>
                </a:r>
              </a:p>
            </c:rich>
          </c:tx>
          <c:layout>
            <c:manualLayout>
              <c:xMode val="edge"/>
              <c:yMode val="edge"/>
              <c:x val="0.36579461240334976"/>
              <c:y val="0.9182604361467573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7616640"/>
        <c:crossesAt val="0"/>
        <c:auto val="1"/>
        <c:lblAlgn val="ctr"/>
        <c:lblOffset val="100"/>
        <c:noMultiLvlLbl val="0"/>
      </c:catAx>
      <c:valAx>
        <c:axId val="187616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7614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€/MWh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Peajes ATR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Peaje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3.5 (35% Consumo nocturno)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22035527380027559"/>
          <c:y val="2.224689944447481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ATR Actual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09-41F2-8487-47314785DC60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09-41F2-8487-47314785DC60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B09-41F2-8487-47314785DC60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09-41F2-8487-47314785DC60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B09-41F2-8487-47314785DC60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B09-41F2-8487-47314785DC60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B09-41F2-8487-47314785DC60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09-41F2-8487-47314785DC60}"/>
                </c:ext>
              </c:extLst>
            </c:dLbl>
            <c:dLbl>
              <c:idx val="9"/>
              <c:layout>
                <c:manualLayout>
                  <c:x val="-3.5074216514653235E-2"/>
                  <c:y val="-4.63646328096455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B09-41F2-8487-47314785DC60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09-41F2-8487-47314785DC60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09-41F2-8487-47314785DC60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09-41F2-8487-47314785DC60}"/>
                </c:ext>
              </c:extLst>
            </c:dLbl>
            <c:dLbl>
              <c:idx val="13"/>
              <c:layout>
                <c:manualLayout>
                  <c:x val="-2.8122988826599166E-2"/>
                  <c:y val="-3.85772913816689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144-49BE-B328-CCFC410387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'Peaje 3.5 Nocturno'!$B$10:$B$23</c:f>
              <c:numCache>
                <c:formatCode>#,##0</c:formatCode>
                <c:ptCount val="14"/>
                <c:pt idx="0">
                  <c:v>8250</c:v>
                </c:pt>
                <c:pt idx="1">
                  <c:v>8500</c:v>
                </c:pt>
                <c:pt idx="2">
                  <c:v>9000</c:v>
                </c:pt>
                <c:pt idx="3">
                  <c:v>9500</c:v>
                </c:pt>
                <c:pt idx="4">
                  <c:v>10000</c:v>
                </c:pt>
                <c:pt idx="5">
                  <c:v>12500</c:v>
                </c:pt>
                <c:pt idx="6">
                  <c:v>15000</c:v>
                </c:pt>
                <c:pt idx="7">
                  <c:v>15614</c:v>
                </c:pt>
                <c:pt idx="8">
                  <c:v>17500</c:v>
                </c:pt>
                <c:pt idx="9">
                  <c:v>20000</c:v>
                </c:pt>
                <c:pt idx="10">
                  <c:v>22500</c:v>
                </c:pt>
                <c:pt idx="11">
                  <c:v>25000</c:v>
                </c:pt>
                <c:pt idx="12">
                  <c:v>27500</c:v>
                </c:pt>
                <c:pt idx="13">
                  <c:v>30000</c:v>
                </c:pt>
              </c:numCache>
            </c:numRef>
          </c:cat>
          <c:val>
            <c:numRef>
              <c:f>'Peaje 3.5 Nocturno'!$S$10:$S$23</c:f>
              <c:numCache>
                <c:formatCode>0.00</c:formatCode>
                <c:ptCount val="14"/>
                <c:pt idx="0">
                  <c:v>5.1950546333601935</c:v>
                </c:pt>
                <c:pt idx="1">
                  <c:v>5.1950546333601944</c:v>
                </c:pt>
                <c:pt idx="2">
                  <c:v>5.1950546333601935</c:v>
                </c:pt>
                <c:pt idx="3">
                  <c:v>5.1950546333601926</c:v>
                </c:pt>
                <c:pt idx="4">
                  <c:v>5.1950546333601935</c:v>
                </c:pt>
                <c:pt idx="5">
                  <c:v>5.1950546333601935</c:v>
                </c:pt>
                <c:pt idx="6">
                  <c:v>5.1950546333601935</c:v>
                </c:pt>
                <c:pt idx="7">
                  <c:v>5.1950546333601944</c:v>
                </c:pt>
                <c:pt idx="8">
                  <c:v>5.1950546333601944</c:v>
                </c:pt>
                <c:pt idx="9">
                  <c:v>5.1950546333601935</c:v>
                </c:pt>
                <c:pt idx="10">
                  <c:v>5.1950546333601935</c:v>
                </c:pt>
                <c:pt idx="11">
                  <c:v>5.1950546333601935</c:v>
                </c:pt>
                <c:pt idx="12">
                  <c:v>5.1950546333601944</c:v>
                </c:pt>
                <c:pt idx="13">
                  <c:v>5.1950546333601935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B09-41F2-8487-47314785DC60}"/>
            </c:ext>
          </c:extLst>
        </c:ser>
        <c:ser>
          <c:idx val="1"/>
          <c:order val="1"/>
          <c:tx>
            <c:v>ATR Circular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B09-41F2-8487-47314785DC60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B09-41F2-8487-47314785DC60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B09-41F2-8487-47314785DC60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B09-41F2-8487-47314785DC60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B09-41F2-8487-47314785DC60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B09-41F2-8487-47314785DC60}"/>
                </c:ext>
              </c:extLst>
            </c:dLbl>
            <c:dLbl>
              <c:idx val="7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B09-41F2-8487-47314785DC60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B09-41F2-8487-47314785DC60}"/>
                </c:ext>
              </c:extLst>
            </c:dLbl>
            <c:dLbl>
              <c:idx val="9"/>
              <c:layout>
                <c:manualLayout>
                  <c:x val="-3.7104261175635631E-2"/>
                  <c:y val="4.2710997442455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EB09-41F2-8487-47314785DC60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B09-41F2-8487-47314785DC60}"/>
                </c:ext>
              </c:extLst>
            </c:dLbl>
            <c:dLbl>
              <c:idx val="1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EB09-41F2-8487-47314785DC60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B09-41F2-8487-47314785DC60}"/>
                </c:ext>
              </c:extLst>
            </c:dLbl>
            <c:dLbl>
              <c:idx val="13"/>
              <c:layout>
                <c:manualLayout>
                  <c:x val="-2.6584320019850151E-2"/>
                  <c:y val="5.07371941024472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C0000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'Peaje 3.5 Nocturno'!$B$10:$B$23</c:f>
              <c:numCache>
                <c:formatCode>#,##0</c:formatCode>
                <c:ptCount val="14"/>
                <c:pt idx="0">
                  <c:v>8250</c:v>
                </c:pt>
                <c:pt idx="1">
                  <c:v>8500</c:v>
                </c:pt>
                <c:pt idx="2">
                  <c:v>9000</c:v>
                </c:pt>
                <c:pt idx="3">
                  <c:v>9500</c:v>
                </c:pt>
                <c:pt idx="4">
                  <c:v>10000</c:v>
                </c:pt>
                <c:pt idx="5">
                  <c:v>12500</c:v>
                </c:pt>
                <c:pt idx="6">
                  <c:v>15000</c:v>
                </c:pt>
                <c:pt idx="7">
                  <c:v>15614</c:v>
                </c:pt>
                <c:pt idx="8">
                  <c:v>17500</c:v>
                </c:pt>
                <c:pt idx="9">
                  <c:v>20000</c:v>
                </c:pt>
                <c:pt idx="10">
                  <c:v>22500</c:v>
                </c:pt>
                <c:pt idx="11">
                  <c:v>25000</c:v>
                </c:pt>
                <c:pt idx="12">
                  <c:v>27500</c:v>
                </c:pt>
                <c:pt idx="13">
                  <c:v>30000</c:v>
                </c:pt>
              </c:numCache>
            </c:numRef>
          </c:cat>
          <c:val>
            <c:numRef>
              <c:f>'Peaje 3.5 Nocturno'!$AU$10:$AU$23</c:f>
              <c:numCache>
                <c:formatCode>0.00</c:formatCode>
                <c:ptCount val="14"/>
                <c:pt idx="0">
                  <c:v>5.7170402097179691</c:v>
                </c:pt>
                <c:pt idx="1">
                  <c:v>5.7170402097179691</c:v>
                </c:pt>
                <c:pt idx="2">
                  <c:v>5.7170402097179691</c:v>
                </c:pt>
                <c:pt idx="3">
                  <c:v>5.7170402097179691</c:v>
                </c:pt>
                <c:pt idx="4">
                  <c:v>5.7170402097179682</c:v>
                </c:pt>
                <c:pt idx="5">
                  <c:v>5.7170402097179691</c:v>
                </c:pt>
                <c:pt idx="6">
                  <c:v>5.7170402097179691</c:v>
                </c:pt>
                <c:pt idx="7">
                  <c:v>3.9878257052860602</c:v>
                </c:pt>
                <c:pt idx="8">
                  <c:v>3.9878257052860597</c:v>
                </c:pt>
                <c:pt idx="9">
                  <c:v>3.9878257052860593</c:v>
                </c:pt>
                <c:pt idx="10">
                  <c:v>3.9878257052860597</c:v>
                </c:pt>
                <c:pt idx="11">
                  <c:v>3.9878257052860602</c:v>
                </c:pt>
                <c:pt idx="12">
                  <c:v>3.9878257052860597</c:v>
                </c:pt>
                <c:pt idx="13">
                  <c:v>3.9878257052860597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B09-41F2-8487-47314785D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853120"/>
        <c:axId val="190855040"/>
      </c:lineChart>
      <c:catAx>
        <c:axId val="190853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 MWh/año</a:t>
                </a:r>
              </a:p>
            </c:rich>
          </c:tx>
          <c:layout>
            <c:manualLayout>
              <c:xMode val="edge"/>
              <c:yMode val="edge"/>
              <c:x val="0.38433481959333399"/>
              <c:y val="0.9028363390060113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05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90855040"/>
        <c:crossesAt val="0"/>
        <c:auto val="1"/>
        <c:lblAlgn val="ctr"/>
        <c:lblOffset val="100"/>
        <c:noMultiLvlLbl val="0"/>
      </c:catAx>
      <c:valAx>
        <c:axId val="19085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9085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Peajes ATR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Grupo  2 Promedio</a:t>
            </a:r>
          </a:p>
        </c:rich>
      </c:tx>
      <c:layout>
        <c:manualLayout>
          <c:xMode val="edge"/>
          <c:yMode val="edge"/>
          <c:x val="0.36543273490237654"/>
          <c:y val="2.83625906292383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'Grupo 2 Promedio'!$AZ$9</c:f>
              <c:strCache>
                <c:ptCount val="1"/>
                <c:pt idx="0">
                  <c:v>D €/año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2"/>
              <c:layout>
                <c:manualLayout>
                  <c:x val="-1.1498069658811946E-2"/>
                  <c:y val="-4.85729137849379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F45-40F5-8131-89FC9C543951}"/>
                </c:ext>
              </c:extLst>
            </c:dLbl>
            <c:dLbl>
              <c:idx val="4"/>
              <c:layout>
                <c:manualLayout>
                  <c:x val="-3.1234913640079694E-2"/>
                  <c:y val="4.9276446835461632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45-40F5-8131-89FC9C543951}"/>
                </c:ext>
              </c:extLst>
            </c:dLbl>
            <c:dLbl>
              <c:idx val="5"/>
              <c:layout>
                <c:manualLayout>
                  <c:x val="-3.6191722986700765E-2"/>
                  <c:y val="4.6218654316074144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45-40F5-8131-89FC9C5439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'Grupo 2 Promedio'!$E$10:$E$15</c:f>
              <c:strCache>
                <c:ptCount val="6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</c:strCache>
            </c:strRef>
          </c:cat>
          <c:val>
            <c:numRef>
              <c:f>'Grupo 2 Promedio'!$BA$10:$BA$15</c:f>
              <c:numCache>
                <c:formatCode>0%</c:formatCode>
                <c:ptCount val="6"/>
                <c:pt idx="0">
                  <c:v>0.46403804056657649</c:v>
                </c:pt>
                <c:pt idx="1">
                  <c:v>1.5960348277056027</c:v>
                </c:pt>
                <c:pt idx="2">
                  <c:v>0.33495957313864133</c:v>
                </c:pt>
                <c:pt idx="3">
                  <c:v>-5.303282558940952E-3</c:v>
                </c:pt>
                <c:pt idx="4">
                  <c:v>-0.23968666259878599</c:v>
                </c:pt>
                <c:pt idx="5">
                  <c:v>-0.28962840094444914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B80-4318-BDDE-BAA19CAF7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581760"/>
        <c:axId val="188592128"/>
      </c:lineChart>
      <c:catAx>
        <c:axId val="1885817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 Grupo 2</a:t>
                </a:r>
              </a:p>
            </c:rich>
          </c:tx>
          <c:layout>
            <c:manualLayout>
              <c:xMode val="edge"/>
              <c:yMode val="edge"/>
              <c:x val="0.37347047657285237"/>
              <c:y val="0.9150675254488995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8592128"/>
        <c:crossesAt val="0"/>
        <c:auto val="1"/>
        <c:lblAlgn val="ctr"/>
        <c:lblOffset val="100"/>
        <c:noMultiLvlLbl val="0"/>
      </c:catAx>
      <c:valAx>
        <c:axId val="188592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858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€/MWh ATR Peaje 3.5 (35% Consumo</a:t>
            </a:r>
            <a:r>
              <a:rPr lang="en-US" sz="14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nocturno)</a:t>
            </a:r>
            <a:endParaRPr lang="en-US" sz="140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'Peaje 3.5 Nocturno'!$BB$9</c:f>
              <c:strCache>
                <c:ptCount val="1"/>
                <c:pt idx="0">
                  <c:v>D €/MWh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6A8-442A-8C35-B76EFED952A6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6A8-442A-8C35-B76EFED952A6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6A8-442A-8C35-B76EFED952A6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6A8-442A-8C35-B76EFED952A6}"/>
              </c:ext>
            </c:extLst>
          </c:dPt>
          <c:dPt>
            <c:idx val="4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6A8-442A-8C35-B76EFED952A6}"/>
              </c:ext>
            </c:extLst>
          </c:dPt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6A8-442A-8C35-B76EFED952A6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6A8-442A-8C35-B76EFED952A6}"/>
              </c:ext>
            </c:extLst>
          </c:dPt>
          <c:dLbls>
            <c:dLbl>
              <c:idx val="7"/>
              <c:numFmt formatCode="#,##0.00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numFmt formatCode="#,##0.00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numFmt formatCode="#,##0.00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numFmt formatCode="#,##0.00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numFmt formatCode="#,##0.00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numFmt formatCode="#,##0.00" sourceLinked="0"/>
              <c:spPr/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1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'Peaje 3.5 Nocturno'!$B$10:$B$23</c:f>
              <c:numCache>
                <c:formatCode>#,##0</c:formatCode>
                <c:ptCount val="14"/>
                <c:pt idx="0">
                  <c:v>8250</c:v>
                </c:pt>
                <c:pt idx="1">
                  <c:v>8500</c:v>
                </c:pt>
                <c:pt idx="2">
                  <c:v>9000</c:v>
                </c:pt>
                <c:pt idx="3">
                  <c:v>9500</c:v>
                </c:pt>
                <c:pt idx="4">
                  <c:v>10000</c:v>
                </c:pt>
                <c:pt idx="5">
                  <c:v>12500</c:v>
                </c:pt>
                <c:pt idx="6">
                  <c:v>15000</c:v>
                </c:pt>
                <c:pt idx="7">
                  <c:v>15614</c:v>
                </c:pt>
                <c:pt idx="8">
                  <c:v>17500</c:v>
                </c:pt>
                <c:pt idx="9">
                  <c:v>20000</c:v>
                </c:pt>
                <c:pt idx="10">
                  <c:v>22500</c:v>
                </c:pt>
                <c:pt idx="11">
                  <c:v>25000</c:v>
                </c:pt>
                <c:pt idx="12">
                  <c:v>27500</c:v>
                </c:pt>
                <c:pt idx="13">
                  <c:v>30000</c:v>
                </c:pt>
              </c:numCache>
            </c:numRef>
          </c:cat>
          <c:val>
            <c:numRef>
              <c:f>'Peaje 3.5 Nocturno'!$BB$10:$BB$23</c:f>
              <c:numCache>
                <c:formatCode>#,##0.00</c:formatCode>
                <c:ptCount val="14"/>
                <c:pt idx="0">
                  <c:v>0.52198557635777565</c:v>
                </c:pt>
                <c:pt idx="1">
                  <c:v>0.52198557635777476</c:v>
                </c:pt>
                <c:pt idx="2">
                  <c:v>0.52198557635777565</c:v>
                </c:pt>
                <c:pt idx="3">
                  <c:v>0.52198557635777654</c:v>
                </c:pt>
                <c:pt idx="4">
                  <c:v>0.52198557635777476</c:v>
                </c:pt>
                <c:pt idx="5">
                  <c:v>0.52198557635777565</c:v>
                </c:pt>
                <c:pt idx="6">
                  <c:v>0.52198557635777565</c:v>
                </c:pt>
                <c:pt idx="7">
                  <c:v>-1.2072289280741342</c:v>
                </c:pt>
                <c:pt idx="8">
                  <c:v>-1.2072289280741346</c:v>
                </c:pt>
                <c:pt idx="9">
                  <c:v>-1.2072289280741342</c:v>
                </c:pt>
                <c:pt idx="10">
                  <c:v>-1.2072289280741337</c:v>
                </c:pt>
                <c:pt idx="11">
                  <c:v>-1.2072289280741333</c:v>
                </c:pt>
                <c:pt idx="12">
                  <c:v>-1.2072289280741346</c:v>
                </c:pt>
                <c:pt idx="13">
                  <c:v>-1.2072289280741337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4-16A8-442A-8C35-B76EFED95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190938496"/>
        <c:axId val="190969344"/>
      </c:barChart>
      <c:catAx>
        <c:axId val="190938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Consumo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MWh/año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311625440759305"/>
              <c:y val="0.91666652068936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cross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90969344"/>
        <c:crossesAt val="0"/>
        <c:auto val="1"/>
        <c:lblAlgn val="ctr"/>
        <c:lblOffset val="100"/>
        <c:noMultiLvlLbl val="0"/>
      </c:catAx>
      <c:valAx>
        <c:axId val="190969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9093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€/año ATR G2</a:t>
            </a:r>
            <a:r>
              <a:rPr lang="en-US" sz="14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Tamaño medio Vs 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PS</a:t>
            </a:r>
            <a:r>
              <a:rPr lang="en-US" sz="14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GNL Monocliente</a:t>
            </a:r>
            <a:endParaRPr lang="en-US" sz="140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24195064142651321"/>
          <c:y val="2.77633619661178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'PS GNL Monocliente Promedios G2'!$AT$9</c:f>
              <c:strCache>
                <c:ptCount val="1"/>
                <c:pt idx="0">
                  <c:v>D €/año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D31-4B5E-8E08-63E1C3AA13DC}"/>
              </c:ext>
            </c:extLst>
          </c:dPt>
          <c:dPt>
            <c:idx val="2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C75-422F-8C79-5F71DE1E2138}"/>
              </c:ext>
            </c:extLst>
          </c:dPt>
          <c:dPt>
            <c:idx val="2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1C75-422F-8C79-5F71DE1E2138}"/>
              </c:ext>
            </c:extLst>
          </c:dPt>
          <c:dPt>
            <c:idx val="2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1C75-422F-8C79-5F71DE1E2138}"/>
              </c:ext>
            </c:extLst>
          </c:dPt>
          <c:dPt>
            <c:idx val="2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1C75-422F-8C79-5F71DE1E2138}"/>
              </c:ext>
            </c:extLst>
          </c:dPt>
          <c:dPt>
            <c:idx val="2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1C75-422F-8C79-5F71DE1E2138}"/>
              </c:ext>
            </c:extLst>
          </c:dPt>
          <c:dPt>
            <c:idx val="2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1C75-422F-8C79-5F71DE1E2138}"/>
              </c:ext>
            </c:extLst>
          </c:dPt>
          <c:dPt>
            <c:idx val="2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1C75-422F-8C79-5F71DE1E2138}"/>
              </c:ext>
            </c:extLst>
          </c:dPt>
          <c:dPt>
            <c:idx val="2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1C75-422F-8C79-5F71DE1E2138}"/>
              </c:ext>
            </c:extLst>
          </c:dPt>
          <c:dPt>
            <c:idx val="2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1C75-422F-8C79-5F71DE1E2138}"/>
              </c:ext>
            </c:extLst>
          </c:dPt>
          <c:dPt>
            <c:idx val="2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3-1C75-422F-8C79-5F71DE1E2138}"/>
              </c:ext>
            </c:extLst>
          </c:dPt>
          <c:dPt>
            <c:idx val="3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5-1C75-422F-8C79-5F71DE1E2138}"/>
              </c:ext>
            </c:extLst>
          </c:dPt>
          <c:dPt>
            <c:idx val="3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7-1C75-422F-8C79-5F71DE1E2138}"/>
              </c:ext>
            </c:extLst>
          </c:dPt>
          <c:dLbls>
            <c:dLbl>
              <c:idx val="5"/>
              <c:numFmt formatCode="#,##0\ &quot;€&quot;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'PS GNL Monocliente Promedios G2'!$E$10:$E$15</c:f>
              <c:strCache>
                <c:ptCount val="6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</c:strCache>
            </c:strRef>
          </c:cat>
          <c:val>
            <c:numRef>
              <c:f>'PS GNL Monocliente Promedios G2'!$AT$10:$AT$15</c:f>
              <c:numCache>
                <c:formatCode>#,##0.00\ "€"</c:formatCode>
                <c:ptCount val="6"/>
                <c:pt idx="0">
                  <c:v>7492.1165301300225</c:v>
                </c:pt>
                <c:pt idx="1">
                  <c:v>25914.734312276745</c:v>
                </c:pt>
                <c:pt idx="2">
                  <c:v>37143.897301201039</c:v>
                </c:pt>
                <c:pt idx="3">
                  <c:v>65041.671173196664</c:v>
                </c:pt>
                <c:pt idx="4">
                  <c:v>37961.661036076257</c:v>
                </c:pt>
                <c:pt idx="5">
                  <c:v>-205635.51652206108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1C75-422F-8C79-5F71DE1E2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190776064"/>
        <c:axId val="190777984"/>
      </c:barChart>
      <c:catAx>
        <c:axId val="1907760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 Grupo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2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311625440759305"/>
              <c:y val="0.91666652068936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90777984"/>
        <c:crossesAt val="0"/>
        <c:auto val="1"/>
        <c:lblAlgn val="ctr"/>
        <c:lblOffset val="100"/>
        <c:noMultiLvlLbl val="0"/>
      </c:catAx>
      <c:valAx>
        <c:axId val="190777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90776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ATR G2 Tamaño medio Vs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PS GNL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Monocliente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33523178816449489"/>
          <c:y val="2.22469473924455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'PS GNL Monocliente Promedios G2'!$AT$9</c:f>
              <c:strCache>
                <c:ptCount val="1"/>
                <c:pt idx="0">
                  <c:v>D €/año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5"/>
              <c:layout>
                <c:manualLayout>
                  <c:x val="2.6110310864837015E-3"/>
                  <c:y val="6.4673500068860509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2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A4-4718-95F0-95957432F80F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42-45F9-BA65-5AADA39C8A98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42-45F9-BA65-5AADA39C8A98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42-45F9-BA65-5AADA39C8A98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142-45F9-BA65-5AADA39C8A98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42-45F9-BA65-5AADA39C8A98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142-45F9-BA65-5AADA39C8A98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142-45F9-BA65-5AADA39C8A98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142-45F9-BA65-5AADA39C8A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'PS GNL Monocliente Promedios G2'!$E$10:$E$15</c:f>
              <c:strCache>
                <c:ptCount val="6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</c:strCache>
            </c:strRef>
          </c:cat>
          <c:val>
            <c:numRef>
              <c:f>'PS GNL Monocliente Promedios G2'!$AU$10:$AU$15</c:f>
              <c:numCache>
                <c:formatCode>0%</c:formatCode>
                <c:ptCount val="6"/>
                <c:pt idx="0">
                  <c:v>0.86032141733476875</c:v>
                </c:pt>
                <c:pt idx="1">
                  <c:v>0.8133698215272549</c:v>
                </c:pt>
                <c:pt idx="2">
                  <c:v>0.53442874155322195</c:v>
                </c:pt>
                <c:pt idx="3">
                  <c:v>0.33254615378474911</c:v>
                </c:pt>
                <c:pt idx="4">
                  <c:v>6.4602486227451641E-2</c:v>
                </c:pt>
                <c:pt idx="5">
                  <c:v>-7.2376072442837752E-2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4FC-412F-82BC-959F9C63B5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831616"/>
        <c:axId val="190993536"/>
      </c:lineChart>
      <c:catAx>
        <c:axId val="190831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 Grupo 2</a:t>
                </a:r>
              </a:p>
            </c:rich>
          </c:tx>
          <c:layout>
            <c:manualLayout>
              <c:xMode val="edge"/>
              <c:yMode val="edge"/>
              <c:x val="0.38433481959333399"/>
              <c:y val="0.9028363390060113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90993536"/>
        <c:crossesAt val="0"/>
        <c:auto val="1"/>
        <c:lblAlgn val="ctr"/>
        <c:lblOffset val="100"/>
        <c:noMultiLvlLbl val="0"/>
      </c:catAx>
      <c:valAx>
        <c:axId val="19099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9083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€/MWh ATR G2 Tamaño Medio</a:t>
            </a:r>
            <a:r>
              <a:rPr lang="en-US" sz="14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Vs 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PS</a:t>
            </a:r>
            <a:r>
              <a:rPr lang="en-US" sz="14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GNL Monocliente</a:t>
            </a:r>
            <a:endParaRPr lang="en-US" sz="140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22535562627575453"/>
          <c:y val="2.776340422262379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'PS GNL Monocliente Promedios G2'!$AV$9</c:f>
              <c:strCache>
                <c:ptCount val="1"/>
                <c:pt idx="0">
                  <c:v>D €/MWh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10E-42CE-8403-06286CE86655}"/>
              </c:ext>
            </c:extLst>
          </c:dPt>
          <c:dPt>
            <c:idx val="2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5C8E-4470-913A-002512E6D3CD}"/>
              </c:ext>
            </c:extLst>
          </c:dPt>
          <c:dPt>
            <c:idx val="2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5C8E-4470-913A-002512E6D3CD}"/>
              </c:ext>
            </c:extLst>
          </c:dPt>
          <c:dPt>
            <c:idx val="2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5C8E-4470-913A-002512E6D3CD}"/>
              </c:ext>
            </c:extLst>
          </c:dPt>
          <c:dPt>
            <c:idx val="2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5C8E-4470-913A-002512E6D3CD}"/>
              </c:ext>
            </c:extLst>
          </c:dPt>
          <c:dPt>
            <c:idx val="2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5C8E-4470-913A-002512E6D3CD}"/>
              </c:ext>
            </c:extLst>
          </c:dPt>
          <c:dPt>
            <c:idx val="2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5C8E-4470-913A-002512E6D3CD}"/>
              </c:ext>
            </c:extLst>
          </c:dPt>
          <c:dPt>
            <c:idx val="2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5C8E-4470-913A-002512E6D3CD}"/>
              </c:ext>
            </c:extLst>
          </c:dPt>
          <c:dPt>
            <c:idx val="2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5C8E-4470-913A-002512E6D3CD}"/>
              </c:ext>
            </c:extLst>
          </c:dPt>
          <c:dPt>
            <c:idx val="2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1-5C8E-4470-913A-002512E6D3CD}"/>
              </c:ext>
            </c:extLst>
          </c:dPt>
          <c:dPt>
            <c:idx val="2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3-5C8E-4470-913A-002512E6D3CD}"/>
              </c:ext>
            </c:extLst>
          </c:dPt>
          <c:dPt>
            <c:idx val="3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5-5C8E-4470-913A-002512E6D3CD}"/>
              </c:ext>
            </c:extLst>
          </c:dPt>
          <c:dPt>
            <c:idx val="3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7-5C8E-4470-913A-002512E6D3CD}"/>
              </c:ext>
            </c:extLst>
          </c:dPt>
          <c:dLbls>
            <c:dLbl>
              <c:idx val="5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'PS GNL Monocliente Promedios G2'!$E$10:$E$15</c:f>
              <c:strCache>
                <c:ptCount val="6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</c:strCache>
            </c:strRef>
          </c:cat>
          <c:val>
            <c:numRef>
              <c:f>'PS GNL Monocliente Promedios G2'!$AV$10:$AV$15</c:f>
              <c:numCache>
                <c:formatCode>#,##0.00</c:formatCode>
                <c:ptCount val="6"/>
                <c:pt idx="0">
                  <c:v>16.394128074682762</c:v>
                </c:pt>
                <c:pt idx="1">
                  <c:v>11.600149647393351</c:v>
                </c:pt>
                <c:pt idx="2">
                  <c:v>3.055350604688742</c:v>
                </c:pt>
                <c:pt idx="3">
                  <c:v>1.3261361002568335</c:v>
                </c:pt>
                <c:pt idx="4">
                  <c:v>0.18382747817786438</c:v>
                </c:pt>
                <c:pt idx="5">
                  <c:v>-0.17964093439264239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5C8E-4470-913A-002512E6D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191033344"/>
        <c:axId val="191035264"/>
      </c:barChart>
      <c:catAx>
        <c:axId val="191033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 Grupo 2</a:t>
                </a:r>
              </a:p>
            </c:rich>
          </c:tx>
          <c:layout>
            <c:manualLayout>
              <c:xMode val="edge"/>
              <c:yMode val="edge"/>
              <c:x val="0.43311625440759305"/>
              <c:y val="0.91666652068936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91035264"/>
        <c:crossesAt val="0"/>
        <c:auto val="1"/>
        <c:lblAlgn val="ctr"/>
        <c:lblOffset val="100"/>
        <c:noMultiLvlLbl val="0"/>
      </c:catAx>
      <c:valAx>
        <c:axId val="19103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91033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€/MWh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Peajes ATR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G2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Tamao medio 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Vs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PS GNL Monocliente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14753590620324325"/>
          <c:y val="3.3207922388541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ATR Red Circular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44F6-4759-A5B0-C1A33E093CF2}"/>
                </c:ext>
              </c:extLst>
            </c:dLbl>
            <c:dLbl>
              <c:idx val="8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4F6-4759-A5B0-C1A33E093CF2}"/>
                </c:ext>
              </c:extLst>
            </c:dLbl>
            <c:dLbl>
              <c:idx val="9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44F6-4759-A5B0-C1A33E093CF2}"/>
                </c:ext>
              </c:extLst>
            </c:dLbl>
            <c:dLbl>
              <c:idx val="10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44F6-4759-A5B0-C1A33E093CF2}"/>
                </c:ext>
              </c:extLst>
            </c:dLbl>
            <c:dLbl>
              <c:idx val="1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4F6-4759-A5B0-C1A33E093CF2}"/>
                </c:ext>
              </c:extLst>
            </c:dLbl>
            <c:dLbl>
              <c:idx val="1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4F6-4759-A5B0-C1A33E093CF2}"/>
                </c:ext>
              </c:extLst>
            </c:dLbl>
            <c:dLbl>
              <c:idx val="1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4F6-4759-A5B0-C1A33E093CF2}"/>
                </c:ext>
              </c:extLst>
            </c:dLbl>
            <c:dLbl>
              <c:idx val="1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44F6-4759-A5B0-C1A33E093C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'PS GNL Monocliente Promedios G2'!$E$10:$E$15</c:f>
              <c:strCache>
                <c:ptCount val="6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</c:strCache>
            </c:strRef>
          </c:cat>
          <c:val>
            <c:numRef>
              <c:f>'PS GNL Monocliente Promedios G2'!$AF$10:$AF$15</c:f>
              <c:numCache>
                <c:formatCode>0.00</c:formatCode>
                <c:ptCount val="6"/>
                <c:pt idx="0">
                  <c:v>19.055817679711989</c:v>
                </c:pt>
                <c:pt idx="1">
                  <c:v>14.261839252422577</c:v>
                </c:pt>
                <c:pt idx="2">
                  <c:v>5.7170402097179682</c:v>
                </c:pt>
                <c:pt idx="3">
                  <c:v>3.9878257052860597</c:v>
                </c:pt>
                <c:pt idx="4">
                  <c:v>2.8455170832070911</c:v>
                </c:pt>
                <c:pt idx="5">
                  <c:v>2.4820486706365839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4F6-4759-A5B0-C1A33E093CF2}"/>
            </c:ext>
          </c:extLst>
        </c:ser>
        <c:ser>
          <c:idx val="1"/>
          <c:order val="1"/>
          <c:tx>
            <c:v>PS GNL Monocliente</c:v>
          </c:tx>
          <c:marker>
            <c:symbol val="circle"/>
            <c:size val="5"/>
            <c:spPr>
              <a:solidFill>
                <a:schemeClr val="bg1"/>
              </a:solidFill>
            </c:spPr>
          </c:marker>
          <c:dLbls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txPr>
              <a:bodyPr/>
              <a:lstStyle/>
              <a:p>
                <a:pPr>
                  <a:defRPr sz="11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'PS GNL Monocliente Promedios G2'!$E$10:$E$15</c:f>
              <c:strCache>
                <c:ptCount val="6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</c:strCache>
            </c:strRef>
          </c:cat>
          <c:val>
            <c:numRef>
              <c:f>'PS GNL Monocliente Promedios G2'!$AR$10:$AR$15</c:f>
              <c:numCache>
                <c:formatCode>0.00</c:formatCode>
                <c:ptCount val="6"/>
                <c:pt idx="0">
                  <c:v>2.6616896050292267</c:v>
                </c:pt>
                <c:pt idx="1">
                  <c:v>2.6616896050292262</c:v>
                </c:pt>
                <c:pt idx="2">
                  <c:v>2.6616896050292262</c:v>
                </c:pt>
                <c:pt idx="3">
                  <c:v>2.6616896050292262</c:v>
                </c:pt>
                <c:pt idx="4">
                  <c:v>2.6616896050292267</c:v>
                </c:pt>
                <c:pt idx="5">
                  <c:v>2.6616896050292262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1089664"/>
        <c:axId val="191120512"/>
      </c:lineChart>
      <c:catAx>
        <c:axId val="191089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Grupo 2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4897047659986333"/>
              <c:y val="0.9028363142586716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91120512"/>
        <c:crossesAt val="0"/>
        <c:auto val="1"/>
        <c:lblAlgn val="ctr"/>
        <c:lblOffset val="100"/>
        <c:noMultiLvlLbl val="0"/>
      </c:catAx>
      <c:valAx>
        <c:axId val="191120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9108966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€/MWh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Peajes ATR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Grupo 2 Promedio</a:t>
            </a:r>
          </a:p>
        </c:rich>
      </c:tx>
      <c:layout>
        <c:manualLayout>
          <c:xMode val="edge"/>
          <c:yMode val="edge"/>
          <c:x val="0.31814879958166442"/>
          <c:y val="1.854171711307483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ATR Actual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2.6099077390287329E-2"/>
                  <c:y val="-5.38795465506494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38-4808-B66D-736AFFAFC9F4}"/>
                </c:ext>
              </c:extLst>
            </c:dLbl>
            <c:dLbl>
              <c:idx val="4"/>
              <c:layout>
                <c:manualLayout>
                  <c:x val="-2.3077910308685962E-2"/>
                  <c:y val="-4.7788020654589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38-4808-B66D-736AFFAFC9F4}"/>
                </c:ext>
              </c:extLst>
            </c:dLbl>
            <c:dLbl>
              <c:idx val="5"/>
              <c:layout>
                <c:manualLayout>
                  <c:x val="-3.8183745716692793E-2"/>
                  <c:y val="-4.16964947585297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38-4808-B66D-736AFFAFC9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'Grupo 2 Promedio'!$E$10:$E$15</c:f>
              <c:strCache>
                <c:ptCount val="6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</c:strCache>
            </c:strRef>
          </c:cat>
          <c:val>
            <c:numRef>
              <c:f>'Grupo 2 Promedio'!$S$10:$S$15</c:f>
              <c:numCache>
                <c:formatCode>0.00</c:formatCode>
                <c:ptCount val="6"/>
                <c:pt idx="0">
                  <c:v>13.015930701047543</c:v>
                </c:pt>
                <c:pt idx="1">
                  <c:v>5.4937010475423049</c:v>
                </c:pt>
                <c:pt idx="2">
                  <c:v>4.2825568090249799</c:v>
                </c:pt>
                <c:pt idx="3">
                  <c:v>4.0090870265914589</c:v>
                </c:pt>
                <c:pt idx="4">
                  <c:v>3.7425584206285261</c:v>
                </c:pt>
                <c:pt idx="5">
                  <c:v>3.4940145044319095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ADB-48BB-AF09-E56760A52992}"/>
            </c:ext>
          </c:extLst>
        </c:ser>
        <c:ser>
          <c:idx val="1"/>
          <c:order val="1"/>
          <c:tx>
            <c:v>ATR Circular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3"/>
              <c:layout>
                <c:manualLayout>
                  <c:x val="-3.2141411553490061E-2"/>
                  <c:y val="4.77877808307354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38-4808-B66D-736AFFAFC9F4}"/>
                </c:ext>
              </c:extLst>
            </c:dLbl>
            <c:dLbl>
              <c:idx val="4"/>
              <c:layout>
                <c:manualLayout>
                  <c:x val="-2.6099077390287329E-2"/>
                  <c:y val="3.86507318104998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38-4808-B66D-736AFFAFC9F4}"/>
                </c:ext>
              </c:extLst>
            </c:dLbl>
            <c:dLbl>
              <c:idx val="5"/>
              <c:layout>
                <c:manualLayout>
                  <c:x val="-3.440324278277083E-3"/>
                  <c:y val="1.73303911742903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38-4808-B66D-736AFFAFC9F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accent2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'Grupo 2 Promedio'!$E$10:$E$15</c:f>
              <c:strCache>
                <c:ptCount val="6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</c:strCache>
            </c:strRef>
          </c:cat>
          <c:val>
            <c:numRef>
              <c:f>'Grupo 2 Promedio'!$AU$10:$AU$15</c:f>
              <c:numCache>
                <c:formatCode>0.00</c:formatCode>
                <c:ptCount val="6"/>
                <c:pt idx="0">
                  <c:v>19.055817679711989</c:v>
                </c:pt>
                <c:pt idx="1">
                  <c:v>14.261839252422577</c:v>
                </c:pt>
                <c:pt idx="2">
                  <c:v>5.7170402097179682</c:v>
                </c:pt>
                <c:pt idx="3">
                  <c:v>3.9878257052860597</c:v>
                </c:pt>
                <c:pt idx="4">
                  <c:v>2.8455170832070911</c:v>
                </c:pt>
                <c:pt idx="5">
                  <c:v>2.4820486706365839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ADB-48BB-AF09-E56760A52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642048"/>
        <c:axId val="188643968"/>
      </c:lineChart>
      <c:catAx>
        <c:axId val="1886420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 Grupo 2</a:t>
                </a:r>
              </a:p>
            </c:rich>
          </c:tx>
          <c:layout>
            <c:manualLayout>
              <c:xMode val="edge"/>
              <c:yMode val="edge"/>
              <c:x val="0.44897047659986333"/>
              <c:y val="0.9028363142586716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8643968"/>
        <c:crossesAt val="0"/>
        <c:auto val="1"/>
        <c:lblAlgn val="ctr"/>
        <c:lblOffset val="100"/>
        <c:noMultiLvlLbl val="0"/>
      </c:catAx>
      <c:valAx>
        <c:axId val="18864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8642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€/MWh ATR Grupo 2 Promedio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008242308848582"/>
          <c:y val="0.11194080424745022"/>
          <c:w val="0.87929025954504458"/>
          <c:h val="0.679861896657134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'Grupo 2 Promedio'!$BB$9</c:f>
              <c:strCache>
                <c:ptCount val="1"/>
                <c:pt idx="0">
                  <c:v>D €/MWh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C72-4E2D-A605-5AA5EC5691AE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72-4E2D-A605-5AA5EC5691AE}"/>
              </c:ext>
            </c:extLst>
          </c:dPt>
          <c:dPt>
            <c:idx val="2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C72-4E2D-A605-5AA5EC5691AE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C72-4E2D-A605-5AA5EC5691AE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C72-4E2D-A605-5AA5EC5691AE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C72-4E2D-A605-5AA5EC5691AE}"/>
              </c:ext>
            </c:extLst>
          </c:dPt>
          <c:dPt>
            <c:idx val="2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C72-4E2D-A605-5AA5EC5691AE}"/>
              </c:ext>
            </c:extLst>
          </c:dPt>
          <c:dPt>
            <c:idx val="2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C72-4E2D-A605-5AA5EC5691AE}"/>
              </c:ext>
            </c:extLst>
          </c:dPt>
          <c:dPt>
            <c:idx val="2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C72-4E2D-A605-5AA5EC5691AE}"/>
              </c:ext>
            </c:extLst>
          </c:dPt>
          <c:dPt>
            <c:idx val="2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C72-4E2D-A605-5AA5EC5691AE}"/>
              </c:ext>
            </c:extLst>
          </c:dPt>
          <c:dPt>
            <c:idx val="24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2C72-4E2D-A605-5AA5EC5691AE}"/>
              </c:ext>
            </c:extLst>
          </c:dPt>
          <c:dPt>
            <c:idx val="2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2C72-4E2D-A605-5AA5EC5691AE}"/>
              </c:ext>
            </c:extLst>
          </c:dPt>
          <c:dPt>
            <c:idx val="26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9-2C72-4E2D-A605-5AA5EC5691AE}"/>
              </c:ext>
            </c:extLst>
          </c:dPt>
          <c:dPt>
            <c:idx val="27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B-2C72-4E2D-A605-5AA5EC5691AE}"/>
              </c:ext>
            </c:extLst>
          </c:dPt>
          <c:dPt>
            <c:idx val="28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D-2C72-4E2D-A605-5AA5EC5691AE}"/>
              </c:ext>
            </c:extLst>
          </c:dPt>
          <c:dPt>
            <c:idx val="29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F-2C72-4E2D-A605-5AA5EC5691AE}"/>
              </c:ext>
            </c:extLst>
          </c:dPt>
          <c:dPt>
            <c:idx val="3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1-2C72-4E2D-A605-5AA5EC5691AE}"/>
              </c:ext>
            </c:extLst>
          </c:dPt>
          <c:dPt>
            <c:idx val="3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23-2C72-4E2D-A605-5AA5EC5691AE}"/>
              </c:ext>
            </c:extLst>
          </c:dPt>
          <c:dLbls>
            <c:dLbl>
              <c:idx val="3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numFmt formatCode="#,##0.00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numFmt formatCode="#,##0.00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'Grupo 2 Promedio'!$E$10:$E$15</c:f>
              <c:strCache>
                <c:ptCount val="6"/>
                <c:pt idx="0">
                  <c:v>2.1</c:v>
                </c:pt>
                <c:pt idx="1">
                  <c:v>2.2</c:v>
                </c:pt>
                <c:pt idx="2">
                  <c:v>2.3</c:v>
                </c:pt>
                <c:pt idx="3">
                  <c:v>2.4</c:v>
                </c:pt>
                <c:pt idx="4">
                  <c:v>2.5</c:v>
                </c:pt>
                <c:pt idx="5">
                  <c:v>2.6</c:v>
                </c:pt>
              </c:strCache>
            </c:strRef>
          </c:cat>
          <c:val>
            <c:numRef>
              <c:f>'Grupo 2 Promedio'!$BB$10:$BB$15</c:f>
              <c:numCache>
                <c:formatCode>#,##0.00</c:formatCode>
                <c:ptCount val="6"/>
                <c:pt idx="0">
                  <c:v>6.0398869786644465</c:v>
                </c:pt>
                <c:pt idx="1">
                  <c:v>8.7681382048802732</c:v>
                </c:pt>
                <c:pt idx="2">
                  <c:v>1.4344834006929883</c:v>
                </c:pt>
                <c:pt idx="3">
                  <c:v>-2.126132130539915E-2</c:v>
                </c:pt>
                <c:pt idx="4">
                  <c:v>-0.89704133742143499</c:v>
                </c:pt>
                <c:pt idx="5">
                  <c:v>-1.0119658337953257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2C72-4E2D-A605-5AA5EC5691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188752256"/>
        <c:axId val="188754176"/>
      </c:barChart>
      <c:catAx>
        <c:axId val="188752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Grupo 2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1323071062868388"/>
              <c:y val="0.916666524974877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8754176"/>
        <c:crossesAt val="0"/>
        <c:auto val="1"/>
        <c:lblAlgn val="ctr"/>
        <c:lblOffset val="100"/>
        <c:noMultiLvlLbl val="0"/>
      </c:catAx>
      <c:valAx>
        <c:axId val="18875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8752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ATR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Grupo 3 Promedio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(excepto 3.5)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25516327900872859"/>
          <c:y val="2.150412538145650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'Grupo 3 Promedio'!$AZ$9</c:f>
              <c:strCache>
                <c:ptCount val="1"/>
                <c:pt idx="0">
                  <c:v>D €/año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2.7004074642455855E-2"/>
                  <c:y val="5.1608919086211048E-2"/>
                </c:manualLayout>
              </c:layout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7D8-4C17-8CF4-4199105E33FB}"/>
                </c:ext>
              </c:extLst>
            </c:dLbl>
            <c:dLbl>
              <c:idx val="3"/>
              <c:spPr/>
              <c:txPr>
                <a:bodyPr/>
                <a:lstStyle/>
                <a:p>
                  <a:pPr>
                    <a:defRPr sz="1400">
                      <a:solidFill>
                        <a:srgbClr val="C00000"/>
                      </a:solidFill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/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'Grupo 3 Promedio'!$E$10:$E$13</c:f>
              <c:strCache>
                <c:ptCount val="4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</c:strCache>
            </c:strRef>
          </c:cat>
          <c:val>
            <c:numRef>
              <c:f>'Grupo 3 Promedio'!$BA$10:$BA$13</c:f>
              <c:numCache>
                <c:formatCode>0%</c:formatCode>
                <c:ptCount val="4"/>
                <c:pt idx="0">
                  <c:v>-0.55529677313234871</c:v>
                </c:pt>
                <c:pt idx="1">
                  <c:v>-0.33541150564633981</c:v>
                </c:pt>
                <c:pt idx="2">
                  <c:v>-0.19442140725782367</c:v>
                </c:pt>
                <c:pt idx="3">
                  <c:v>0.18259851182314432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778-4FCE-9B68-D98C9A91A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8855040"/>
        <c:axId val="188856960"/>
      </c:lineChart>
      <c:catAx>
        <c:axId val="188855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 Grupo 3</a:t>
                </a:r>
              </a:p>
            </c:rich>
          </c:tx>
          <c:layout>
            <c:manualLayout>
              <c:xMode val="edge"/>
              <c:yMode val="edge"/>
              <c:x val="0.39735813953488375"/>
              <c:y val="0.9244301014569883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8856960"/>
        <c:crossesAt val="0"/>
        <c:auto val="1"/>
        <c:lblAlgn val="ctr"/>
        <c:lblOffset val="100"/>
        <c:noMultiLvlLbl val="0"/>
      </c:catAx>
      <c:valAx>
        <c:axId val="188856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8855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€/año ATR Grupo 3 Promedio</a:t>
            </a:r>
            <a:r>
              <a:rPr lang="en-US" sz="14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(excepto 3.5)</a:t>
            </a:r>
            <a:endParaRPr lang="en-US" sz="140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20550178816847511"/>
          <c:y val="2.22470770699117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'Grupo 3 Promedio'!$AZ$9</c:f>
              <c:strCache>
                <c:ptCount val="1"/>
                <c:pt idx="0">
                  <c:v>D €/año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447-4F95-8575-B9F32B6961B2}"/>
              </c:ext>
            </c:extLst>
          </c:dPt>
          <c:dPt>
            <c:idx val="3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0-97C4-4FF3-84DA-3228A1C150EE}"/>
              </c:ext>
            </c:extLst>
          </c:dPt>
          <c:dPt>
            <c:idx val="3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97C4-4FF3-84DA-3228A1C150EE}"/>
              </c:ext>
            </c:extLst>
          </c:dPt>
          <c:dPt>
            <c:idx val="3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97C4-4FF3-84DA-3228A1C150EE}"/>
              </c:ext>
            </c:extLst>
          </c:dPt>
          <c:dPt>
            <c:idx val="3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97C4-4FF3-84DA-3228A1C150EE}"/>
              </c:ext>
            </c:extLst>
          </c:dPt>
          <c:dPt>
            <c:idx val="3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97C4-4FF3-84DA-3228A1C150EE}"/>
              </c:ext>
            </c:extLst>
          </c:dPt>
          <c:dLbls>
            <c:dLbl>
              <c:idx val="3"/>
              <c:numFmt formatCode="#,##0\ &quot;€&quot;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C0000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\ &quot;€&quot;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00B05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'Grupo 3 Promedio'!$E$10:$E$13</c:f>
              <c:strCache>
                <c:ptCount val="4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</c:strCache>
            </c:strRef>
          </c:cat>
          <c:val>
            <c:numRef>
              <c:f>'Grupo 3 Promedio'!$AZ$10:$AZ$13</c:f>
              <c:numCache>
                <c:formatCode>#,##0.00\ "€"</c:formatCode>
                <c:ptCount val="4"/>
                <c:pt idx="0">
                  <c:v>-65.311086411480062</c:v>
                </c:pt>
                <c:pt idx="1">
                  <c:v>-106.33065544975781</c:v>
                </c:pt>
                <c:pt idx="2">
                  <c:v>-383.93490780632396</c:v>
                </c:pt>
                <c:pt idx="3">
                  <c:v>1523.0730284170131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CF2-45C5-9B12-F4A27987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188979840"/>
        <c:axId val="188982016"/>
      </c:barChart>
      <c:catAx>
        <c:axId val="1889798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Peajes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Grupo 3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311625440759305"/>
              <c:y val="0.91666652068936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8982016"/>
        <c:crossesAt val="0"/>
        <c:auto val="1"/>
        <c:lblAlgn val="ctr"/>
        <c:lblOffset val="100"/>
        <c:noMultiLvlLbl val="0"/>
      </c:catAx>
      <c:valAx>
        <c:axId val="18898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8979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€/MWh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Peajes ATR</a:t>
            </a:r>
            <a:r>
              <a:rPr lang="en-US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Grupo 3</a:t>
            </a:r>
            <a:r>
              <a:rPr lang="en-US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(excepto 3.5)</a:t>
            </a:r>
            <a:endParaRPr lang="en-US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3049615662526543"/>
          <c:y val="3.320780554604586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ATR Actual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0070C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7334961032832424E-2"/>
                  <c:y val="-5.3671903544026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D6-4E08-BA54-84C81BCC9347}"/>
                </c:ext>
              </c:extLst>
            </c:dLbl>
            <c:dLbl>
              <c:idx val="1"/>
              <c:layout>
                <c:manualLayout>
                  <c:x val="-3.3560901215767311E-2"/>
                  <c:y val="-5.00182681768359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D6-4E08-BA54-84C81BCC9347}"/>
                </c:ext>
              </c:extLst>
            </c:dLbl>
            <c:dLbl>
              <c:idx val="2"/>
              <c:layout>
                <c:manualLayout>
                  <c:x val="-3.1673871307234841E-2"/>
                  <c:y val="-4.63646328096456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D6-4E08-BA54-84C81BCC93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'Grupo 3 Promedio'!$E$10:$E$13</c:f>
              <c:strCache>
                <c:ptCount val="4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</c:strCache>
            </c:strRef>
          </c:cat>
          <c:val>
            <c:numRef>
              <c:f>'Grupo 3 Promedio'!$S$10:$S$13</c:f>
              <c:numCache>
                <c:formatCode>0.00</c:formatCode>
                <c:ptCount val="4"/>
                <c:pt idx="0">
                  <c:v>42.925088127995934</c:v>
                </c:pt>
                <c:pt idx="1">
                  <c:v>32.285928065186852</c:v>
                </c:pt>
                <c:pt idx="2">
                  <c:v>27.679749185373705</c:v>
                </c:pt>
                <c:pt idx="3">
                  <c:v>17.560217230111519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BD6-4E08-BA54-84C81BCC9347}"/>
            </c:ext>
          </c:extLst>
        </c:ser>
        <c:ser>
          <c:idx val="1"/>
          <c:order val="1"/>
          <c:tx>
            <c:v>ATR Circular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3.7334961032832389E-2"/>
                  <c:y val="4.271099744245517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D6-4E08-BA54-84C81BCC9347}"/>
                </c:ext>
              </c:extLst>
            </c:dLbl>
            <c:dLbl>
              <c:idx val="2"/>
              <c:layout>
                <c:manualLayout>
                  <c:x val="-3.733496103283232E-2"/>
                  <c:y val="6.09791742784070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D6-4E08-BA54-84C81BCC93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accent2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'Grupo 3 Promedio'!$E$10:$E$13</c:f>
              <c:strCache>
                <c:ptCount val="4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</c:strCache>
            </c:strRef>
          </c:cat>
          <c:val>
            <c:numRef>
              <c:f>'Grupo 3 Promedio'!$AU$10:$AU$13</c:f>
              <c:numCache>
                <c:formatCode>0.00</c:formatCode>
                <c:ptCount val="4"/>
                <c:pt idx="0">
                  <c:v>19.0889252040981</c:v>
                </c:pt>
                <c:pt idx="1">
                  <c:v>21.45685632165311</c:v>
                </c:pt>
                <c:pt idx="2">
                  <c:v>22.29821339620975</c:v>
                </c:pt>
                <c:pt idx="3">
                  <c:v>20.766686763621021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D6-4E08-BA54-84C81BCC93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359232"/>
        <c:axId val="189361152"/>
      </c:lineChart>
      <c:catAx>
        <c:axId val="189359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 Grupo 3</a:t>
                </a:r>
              </a:p>
            </c:rich>
          </c:tx>
          <c:layout>
            <c:manualLayout>
              <c:xMode val="edge"/>
              <c:yMode val="edge"/>
              <c:x val="0.44897047659986333"/>
              <c:y val="0.9028363142586716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9361152"/>
        <c:crossesAt val="0"/>
        <c:auto val="1"/>
        <c:lblAlgn val="ctr"/>
        <c:lblOffset val="100"/>
        <c:noMultiLvlLbl val="0"/>
      </c:catAx>
      <c:valAx>
        <c:axId val="18936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9359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  <a:ea typeface="+mn-ea"/>
                <a:cs typeface="+mn-cs"/>
              </a:defRPr>
            </a:pPr>
            <a:r>
              <a:rPr lang="el-GR" sz="1400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sz="140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€/MWh ATR Grupo 3 Promedio</a:t>
            </a:r>
            <a:r>
              <a:rPr lang="en-US" sz="14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Rounded MT Bold" panose="020F0704030504030204" pitchFamily="34" charset="0"/>
              </a:rPr>
              <a:t> (excepto 3.5)</a:t>
            </a:r>
            <a:endParaRPr lang="en-US" sz="1400">
              <a:solidFill>
                <a:schemeClr val="tx1">
                  <a:lumMod val="75000"/>
                  <a:lumOff val="25000"/>
                </a:schemeClr>
              </a:solidFill>
              <a:latin typeface="Arial Rounded MT Bold" panose="020F0704030504030204" pitchFamily="34" charset="0"/>
            </a:endParaRPr>
          </a:p>
        </c:rich>
      </c:tx>
      <c:layout>
        <c:manualLayout>
          <c:xMode val="edge"/>
          <c:yMode val="edge"/>
          <c:x val="0.27299825133445127"/>
          <c:y val="2.22470770699117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'Grupo 3 Promedio'!$BB$9</c:f>
              <c:strCache>
                <c:ptCount val="1"/>
                <c:pt idx="0">
                  <c:v>D €/MWh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903-40B3-BD1C-DDEC64F6DA35}"/>
              </c:ext>
            </c:extLst>
          </c:dPt>
          <c:dPt>
            <c:idx val="3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2-5903-40B3-BD1C-DDEC64F6DA35}"/>
              </c:ext>
            </c:extLst>
          </c:dPt>
          <c:dPt>
            <c:idx val="3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5903-40B3-BD1C-DDEC64F6DA35}"/>
              </c:ext>
            </c:extLst>
          </c:dPt>
          <c:dPt>
            <c:idx val="3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5903-40B3-BD1C-DDEC64F6DA35}"/>
              </c:ext>
            </c:extLst>
          </c:dPt>
          <c:dPt>
            <c:idx val="3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5903-40B3-BD1C-DDEC64F6DA35}"/>
              </c:ext>
            </c:extLst>
          </c:dPt>
          <c:dPt>
            <c:idx val="3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6-5903-40B3-BD1C-DDEC64F6DA35}"/>
              </c:ext>
            </c:extLst>
          </c:dPt>
          <c:dLbls>
            <c:dLbl>
              <c:idx val="3"/>
              <c:numFmt formatCode="#,##0.00" sourceLinked="0"/>
              <c:spPr/>
              <c:txPr>
                <a:bodyPr/>
                <a:lstStyle/>
                <a:p>
                  <a:pPr>
                    <a:defRPr sz="1400">
                      <a:solidFill>
                        <a:srgbClr val="C00000"/>
                      </a:solidFill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00B050"/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'Grupo 3 Promedio'!$E$10:$E$13</c:f>
              <c:strCache>
                <c:ptCount val="4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</c:strCache>
            </c:strRef>
          </c:cat>
          <c:val>
            <c:numRef>
              <c:f>'Grupo 3 Promedio'!$BB$10:$BB$13</c:f>
              <c:numCache>
                <c:formatCode>#,##0.00</c:formatCode>
                <c:ptCount val="4"/>
                <c:pt idx="0">
                  <c:v>-23.836162923897835</c:v>
                </c:pt>
                <c:pt idx="1">
                  <c:v>-10.829071743533742</c:v>
                </c:pt>
                <c:pt idx="2">
                  <c:v>-5.381535789163955</c:v>
                </c:pt>
                <c:pt idx="3">
                  <c:v>3.2064695335095017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903-40B3-BD1C-DDEC64F6D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100"/>
        <c:axId val="189427072"/>
        <c:axId val="189433344"/>
      </c:barChart>
      <c:catAx>
        <c:axId val="189427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Peajes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Grupo 3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43311625440759305"/>
              <c:y val="0.916666520689363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5875" cap="flat" cmpd="sng" algn="ctr">
            <a:solidFill>
              <a:srgbClr val="002060"/>
            </a:solidFill>
            <a:round/>
          </a:ln>
          <a:effectLst/>
        </c:spPr>
        <c:txPr>
          <a:bodyPr rot="-414000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9433344"/>
        <c:crossesAt val="0"/>
        <c:auto val="1"/>
        <c:lblAlgn val="ctr"/>
        <c:lblOffset val="100"/>
        <c:noMultiLvlLbl val="0"/>
      </c:catAx>
      <c:valAx>
        <c:axId val="189433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9427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l-GR" b="1">
                <a:solidFill>
                  <a:schemeClr val="tx1">
                    <a:lumMod val="75000"/>
                    <a:lumOff val="25000"/>
                  </a:schemeClr>
                </a:solidFill>
              </a:rPr>
              <a:t>Δ</a:t>
            </a:r>
            <a:r>
              <a:rPr lang="en-US" b="1">
                <a:solidFill>
                  <a:schemeClr val="tx1">
                    <a:lumMod val="75000"/>
                    <a:lumOff val="25000"/>
                  </a:schemeClr>
                </a:solidFill>
              </a:rPr>
              <a:t> €</a:t>
            </a:r>
            <a:r>
              <a:rPr lang="en-US" b="1" baseline="0">
                <a:solidFill>
                  <a:schemeClr val="tx1">
                    <a:lumMod val="75000"/>
                    <a:lumOff val="25000"/>
                  </a:schemeClr>
                </a:solidFill>
              </a:rPr>
              <a:t> ATR</a:t>
            </a:r>
            <a:r>
              <a:rPr lang="en-US" b="1">
                <a:solidFill>
                  <a:schemeClr val="tx1">
                    <a:lumMod val="75000"/>
                    <a:lumOff val="25000"/>
                  </a:schemeClr>
                </a:solidFill>
              </a:rPr>
              <a:t> Grupo 3 GNL Promedio (excepto 3.5)</a:t>
            </a:r>
          </a:p>
        </c:rich>
      </c:tx>
      <c:layout>
        <c:manualLayout>
          <c:xMode val="edge"/>
          <c:yMode val="edge"/>
          <c:x val="0.21416212279823399"/>
          <c:y val="2.22470770699117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'Grupo 3 GNL Promedio'!$AN$9</c:f>
              <c:strCache>
                <c:ptCount val="1"/>
                <c:pt idx="0">
                  <c:v>D €/año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spPr/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6.8617021276595747E-2"/>
                  <c:y val="-2.40303590887570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400">
                      <a:solidFill>
                        <a:srgbClr val="00B050"/>
                      </a:solidFill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847-4C69-B685-E4EA5B87B00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solidFill>
                      <a:srgbClr val="C00000"/>
                    </a:solidFill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'Grupo 3 GNL Promedio'!$E$10:$E$13</c:f>
              <c:strCache>
                <c:ptCount val="4"/>
                <c:pt idx="0">
                  <c:v>3.1</c:v>
                </c:pt>
                <c:pt idx="1">
                  <c:v>3.2</c:v>
                </c:pt>
                <c:pt idx="2">
                  <c:v>3.3</c:v>
                </c:pt>
                <c:pt idx="3">
                  <c:v>3.4</c:v>
                </c:pt>
              </c:strCache>
            </c:strRef>
          </c:cat>
          <c:val>
            <c:numRef>
              <c:f>'Grupo 3 GNL Promedio'!$AO$10:$AO$13</c:f>
              <c:numCache>
                <c:formatCode>0%</c:formatCode>
                <c:ptCount val="4"/>
                <c:pt idx="0">
                  <c:v>-0.37695246670469568</c:v>
                </c:pt>
                <c:pt idx="1">
                  <c:v>-8.3524968501377903E-2</c:v>
                </c:pt>
                <c:pt idx="2">
                  <c:v>0.12990632315930281</c:v>
                </c:pt>
                <c:pt idx="3">
                  <c:v>0.40322881504643593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AF7-4B05-8A55-537B0B319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149568"/>
        <c:axId val="189151488"/>
      </c:lineChart>
      <c:catAx>
        <c:axId val="1891495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rgbClr val="0070C0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s-ES" sz="1400">
                    <a:solidFill>
                      <a:srgbClr val="0070C0"/>
                    </a:solidFill>
                  </a:rPr>
                  <a:t>Peajes Grupo 3 conectados</a:t>
                </a:r>
                <a:r>
                  <a:rPr lang="es-ES" sz="1400" baseline="0">
                    <a:solidFill>
                      <a:srgbClr val="0070C0"/>
                    </a:solidFill>
                  </a:rPr>
                  <a:t> a PS GNL</a:t>
                </a:r>
                <a:endParaRPr lang="es-ES" sz="1400">
                  <a:solidFill>
                    <a:srgbClr val="0070C0"/>
                  </a:solidFill>
                </a:endParaRPr>
              </a:p>
            </c:rich>
          </c:tx>
          <c:layout>
            <c:manualLayout>
              <c:xMode val="edge"/>
              <c:yMode val="edge"/>
              <c:x val="0.30840886555847186"/>
              <c:y val="0.9305997667672192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cross"/>
        <c:minorTickMark val="none"/>
        <c:tickLblPos val="low"/>
        <c:spPr>
          <a:noFill/>
          <a:ln w="12700" cap="flat" cmpd="sng" algn="ctr">
            <a:solidFill>
              <a:srgbClr val="002060"/>
            </a:solidFill>
            <a:round/>
          </a:ln>
          <a:effectLst/>
        </c:spPr>
        <c:txPr>
          <a:bodyPr rot="-402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70C0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9151488"/>
        <c:crossesAt val="0"/>
        <c:auto val="1"/>
        <c:lblAlgn val="ctr"/>
        <c:lblOffset val="100"/>
        <c:noMultiLvlLbl val="0"/>
      </c:catAx>
      <c:valAx>
        <c:axId val="189151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lg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18914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4" Type="http://schemas.openxmlformats.org/officeDocument/2006/relationships/chart" Target="../charts/chart1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Relationship Id="rId4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130810</xdr:colOff>
      <xdr:row>38</xdr:row>
      <xdr:rowOff>136525</xdr:rowOff>
    </xdr:from>
    <xdr:to>
      <xdr:col>20</xdr:col>
      <xdr:colOff>381000</xdr:colOff>
      <xdr:row>58</xdr:row>
      <xdr:rowOff>25400</xdr:rowOff>
    </xdr:to>
    <xdr:graphicFrame macro="">
      <xdr:nvGraphicFramePr>
        <xdr:cNvPr id="5" name="Gráfico 1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23495</xdr:colOff>
      <xdr:row>17</xdr:row>
      <xdr:rowOff>24765</xdr:rowOff>
    </xdr:from>
    <xdr:to>
      <xdr:col>20</xdr:col>
      <xdr:colOff>444500</xdr:colOff>
      <xdr:row>36</xdr:row>
      <xdr:rowOff>151130</xdr:rowOff>
    </xdr:to>
    <xdr:graphicFrame macro="">
      <xdr:nvGraphicFramePr>
        <xdr:cNvPr id="2" name="Gráfico 2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17</xdr:row>
      <xdr:rowOff>47625</xdr:rowOff>
    </xdr:from>
    <xdr:to>
      <xdr:col>53</xdr:col>
      <xdr:colOff>323003</xdr:colOff>
      <xdr:row>36</xdr:row>
      <xdr:rowOff>145415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587375</xdr:colOff>
      <xdr:row>38</xdr:row>
      <xdr:rowOff>132715</xdr:rowOff>
    </xdr:from>
    <xdr:to>
      <xdr:col>53</xdr:col>
      <xdr:colOff>434975</xdr:colOff>
      <xdr:row>58</xdr:row>
      <xdr:rowOff>21590</xdr:rowOff>
    </xdr:to>
    <xdr:graphicFrame macro="">
      <xdr:nvGraphicFramePr>
        <xdr:cNvPr id="6" name="Gráfico 1">
          <a:extLst>
            <a:ext uri="{FF2B5EF4-FFF2-40B4-BE49-F238E27FC236}">
              <a16:creationId xmlns=""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</xdr:colOff>
      <xdr:row>16</xdr:row>
      <xdr:rowOff>158750</xdr:rowOff>
    </xdr:from>
    <xdr:to>
      <xdr:col>20</xdr:col>
      <xdr:colOff>285749</xdr:colOff>
      <xdr:row>36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47624</xdr:colOff>
      <xdr:row>37</xdr:row>
      <xdr:rowOff>31750</xdr:rowOff>
    </xdr:from>
    <xdr:to>
      <xdr:col>20</xdr:col>
      <xdr:colOff>317499</xdr:colOff>
      <xdr:row>56</xdr:row>
      <xdr:rowOff>127000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444500</xdr:colOff>
      <xdr:row>16</xdr:row>
      <xdr:rowOff>121708</xdr:rowOff>
    </xdr:from>
    <xdr:to>
      <xdr:col>53</xdr:col>
      <xdr:colOff>470112</xdr:colOff>
      <xdr:row>36</xdr:row>
      <xdr:rowOff>13123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496570</xdr:colOff>
      <xdr:row>37</xdr:row>
      <xdr:rowOff>62865</xdr:rowOff>
    </xdr:from>
    <xdr:to>
      <xdr:col>53</xdr:col>
      <xdr:colOff>428625</xdr:colOff>
      <xdr:row>56</xdr:row>
      <xdr:rowOff>158115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15</xdr:row>
      <xdr:rowOff>15875</xdr:rowOff>
    </xdr:from>
    <xdr:to>
      <xdr:col>17</xdr:col>
      <xdr:colOff>428625</xdr:colOff>
      <xdr:row>34</xdr:row>
      <xdr:rowOff>111125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15874</xdr:colOff>
      <xdr:row>35</xdr:row>
      <xdr:rowOff>111125</xdr:rowOff>
    </xdr:from>
    <xdr:to>
      <xdr:col>17</xdr:col>
      <xdr:colOff>460374</xdr:colOff>
      <xdr:row>55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131232</xdr:colOff>
      <xdr:row>15</xdr:row>
      <xdr:rowOff>15875</xdr:rowOff>
    </xdr:from>
    <xdr:to>
      <xdr:col>42</xdr:col>
      <xdr:colOff>47624</xdr:colOff>
      <xdr:row>34</xdr:row>
      <xdr:rowOff>113665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128270</xdr:colOff>
      <xdr:row>35</xdr:row>
      <xdr:rowOff>120015</xdr:rowOff>
    </xdr:from>
    <xdr:to>
      <xdr:col>41</xdr:col>
      <xdr:colOff>396875</xdr:colOff>
      <xdr:row>55</xdr:row>
      <xdr:rowOff>40005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123031</xdr:colOff>
      <xdr:row>46</xdr:row>
      <xdr:rowOff>120333</xdr:rowOff>
    </xdr:from>
    <xdr:to>
      <xdr:col>25</xdr:col>
      <xdr:colOff>63500</xdr:colOff>
      <xdr:row>66</xdr:row>
      <xdr:rowOff>9208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102870</xdr:colOff>
      <xdr:row>25</xdr:row>
      <xdr:rowOff>150494</xdr:rowOff>
    </xdr:from>
    <xdr:to>
      <xdr:col>25</xdr:col>
      <xdr:colOff>47625</xdr:colOff>
      <xdr:row>45</xdr:row>
      <xdr:rowOff>31432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206376</xdr:colOff>
      <xdr:row>25</xdr:row>
      <xdr:rowOff>167217</xdr:rowOff>
    </xdr:from>
    <xdr:to>
      <xdr:col>53</xdr:col>
      <xdr:colOff>377507</xdr:colOff>
      <xdr:row>45</xdr:row>
      <xdr:rowOff>50695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214153</xdr:colOff>
      <xdr:row>46</xdr:row>
      <xdr:rowOff>100807</xdr:rowOff>
    </xdr:from>
    <xdr:to>
      <xdr:col>53</xdr:col>
      <xdr:colOff>396875</xdr:colOff>
      <xdr:row>66</xdr:row>
      <xdr:rowOff>28734</xdr:rowOff>
    </xdr:to>
    <xdr:graphicFrame macro="">
      <xdr:nvGraphicFramePr>
        <xdr:cNvPr id="6" name="Gráfico 5">
          <a:extLst>
            <a:ext uri="{FF2B5EF4-FFF2-40B4-BE49-F238E27FC236}">
              <a16:creationId xmlns=""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127000</xdr:colOff>
      <xdr:row>47</xdr:row>
      <xdr:rowOff>96520</xdr:rowOff>
    </xdr:from>
    <xdr:to>
      <xdr:col>25</xdr:col>
      <xdr:colOff>269875</xdr:colOff>
      <xdr:row>66</xdr:row>
      <xdr:rowOff>191770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23495</xdr:colOff>
      <xdr:row>25</xdr:row>
      <xdr:rowOff>182245</xdr:rowOff>
    </xdr:from>
    <xdr:to>
      <xdr:col>25</xdr:col>
      <xdr:colOff>190500</xdr:colOff>
      <xdr:row>45</xdr:row>
      <xdr:rowOff>71120</xdr:rowOff>
    </xdr:to>
    <xdr:graphicFrame macro="">
      <xdr:nvGraphicFramePr>
        <xdr:cNvPr id="3" name="Gráfico 3">
          <a:extLst>
            <a:ext uri="{FF2B5EF4-FFF2-40B4-BE49-F238E27FC236}">
              <a16:creationId xmlns=""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317500</xdr:colOff>
      <xdr:row>25</xdr:row>
      <xdr:rowOff>190500</xdr:rowOff>
    </xdr:from>
    <xdr:to>
      <xdr:col>53</xdr:col>
      <xdr:colOff>344170</xdr:colOff>
      <xdr:row>45</xdr:row>
      <xdr:rowOff>81915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428626</xdr:colOff>
      <xdr:row>47</xdr:row>
      <xdr:rowOff>95250</xdr:rowOff>
    </xdr:from>
    <xdr:to>
      <xdr:col>53</xdr:col>
      <xdr:colOff>214631</xdr:colOff>
      <xdr:row>66</xdr:row>
      <xdr:rowOff>190500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38</xdr:row>
      <xdr:rowOff>25400</xdr:rowOff>
    </xdr:from>
    <xdr:to>
      <xdr:col>30</xdr:col>
      <xdr:colOff>809625</xdr:colOff>
      <xdr:row>57</xdr:row>
      <xdr:rowOff>120650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39370</xdr:colOff>
      <xdr:row>17</xdr:row>
      <xdr:rowOff>104140</xdr:rowOff>
    </xdr:from>
    <xdr:to>
      <xdr:col>30</xdr:col>
      <xdr:colOff>825500</xdr:colOff>
      <xdr:row>37</xdr:row>
      <xdr:rowOff>24130</xdr:rowOff>
    </xdr:to>
    <xdr:graphicFrame macro="">
      <xdr:nvGraphicFramePr>
        <xdr:cNvPr id="3" name="Gráfico 2">
          <a:extLst>
            <a:ext uri="{FF2B5EF4-FFF2-40B4-BE49-F238E27FC236}">
              <a16:creationId xmlns=""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1079500</xdr:colOff>
      <xdr:row>38</xdr:row>
      <xdr:rowOff>4445</xdr:rowOff>
    </xdr:from>
    <xdr:to>
      <xdr:col>47</xdr:col>
      <xdr:colOff>492125</xdr:colOff>
      <xdr:row>57</xdr:row>
      <xdr:rowOff>130810</xdr:rowOff>
    </xdr:to>
    <xdr:graphicFrame macro="">
      <xdr:nvGraphicFramePr>
        <xdr:cNvPr id="5" name="Gráfico 4">
          <a:extLst>
            <a:ext uri="{FF2B5EF4-FFF2-40B4-BE49-F238E27FC236}">
              <a16:creationId xmlns=""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30</xdr:col>
      <xdr:colOff>1031876</xdr:colOff>
      <xdr:row>17</xdr:row>
      <xdr:rowOff>129117</xdr:rowOff>
    </xdr:from>
    <xdr:to>
      <xdr:col>47</xdr:col>
      <xdr:colOff>381000</xdr:colOff>
      <xdr:row>37</xdr:row>
      <xdr:rowOff>49107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8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P36"/>
  <sheetViews>
    <sheetView showGridLines="0" topLeftCell="A16" workbookViewId="0">
      <selection activeCell="M37" sqref="M37"/>
    </sheetView>
  </sheetViews>
  <sheetFormatPr baseColWidth="10" defaultRowHeight="16.5"/>
  <cols>
    <col min="1" max="1" width="2.42578125" customWidth="1"/>
    <col min="2" max="2" width="8.28515625" customWidth="1"/>
    <col min="3" max="3" width="7.42578125" bestFit="1" customWidth="1"/>
    <col min="4" max="4" width="2" bestFit="1" customWidth="1"/>
    <col min="5" max="5" width="2.28515625" bestFit="1" customWidth="1"/>
    <col min="6" max="6" width="2.140625" bestFit="1" customWidth="1"/>
    <col min="7" max="7" width="7.42578125" bestFit="1" customWidth="1"/>
    <col min="8" max="8" width="14.140625" customWidth="1"/>
    <col min="9" max="9" width="12.42578125" bestFit="1" customWidth="1"/>
    <col min="10" max="10" width="13.5703125" bestFit="1" customWidth="1"/>
    <col min="11" max="11" width="10.42578125" bestFit="1" customWidth="1"/>
    <col min="12" max="12" width="7.42578125" bestFit="1" customWidth="1"/>
    <col min="13" max="13" width="8.85546875" bestFit="1" customWidth="1"/>
    <col min="14" max="14" width="7.5703125" customWidth="1"/>
    <col min="15" max="15" width="11.5703125" bestFit="1" customWidth="1"/>
    <col min="16" max="16" width="12.5703125" bestFit="1" customWidth="1"/>
  </cols>
  <sheetData>
    <row r="2" spans="2:14">
      <c r="B2" s="2" t="s">
        <v>125</v>
      </c>
    </row>
    <row r="3" spans="2:14">
      <c r="B3" s="2" t="s">
        <v>40</v>
      </c>
    </row>
    <row r="4" spans="2:14" s="138" customFormat="1" ht="12.75">
      <c r="B4" s="171"/>
      <c r="I4" s="172" t="s">
        <v>86</v>
      </c>
      <c r="J4" s="172" t="s">
        <v>39</v>
      </c>
      <c r="K4" s="172" t="s">
        <v>88</v>
      </c>
    </row>
    <row r="5" spans="2:14" s="138" customFormat="1" ht="12.75">
      <c r="B5" s="172" t="s">
        <v>0</v>
      </c>
      <c r="C5" s="249" t="s">
        <v>80</v>
      </c>
      <c r="D5" s="250"/>
      <c r="E5" s="250"/>
      <c r="F5" s="250"/>
      <c r="G5" s="251"/>
      <c r="H5" s="172" t="s">
        <v>36</v>
      </c>
      <c r="I5" s="29" t="s">
        <v>87</v>
      </c>
      <c r="J5" s="29" t="s">
        <v>87</v>
      </c>
      <c r="K5" s="29" t="s">
        <v>37</v>
      </c>
      <c r="L5" s="172" t="s">
        <v>38</v>
      </c>
      <c r="M5" s="172" t="s">
        <v>41</v>
      </c>
      <c r="N5" s="172" t="s">
        <v>42</v>
      </c>
    </row>
    <row r="6" spans="2:14">
      <c r="B6" s="182" t="s">
        <v>1</v>
      </c>
      <c r="C6" s="8"/>
      <c r="D6" s="7"/>
      <c r="E6" s="7" t="s">
        <v>10</v>
      </c>
      <c r="F6" s="7" t="s">
        <v>8</v>
      </c>
      <c r="G6" s="10">
        <v>3</v>
      </c>
      <c r="H6" s="24">
        <v>3446838</v>
      </c>
      <c r="I6" s="24">
        <v>4930219</v>
      </c>
      <c r="J6" s="31">
        <f>I6/H6</f>
        <v>1.4303599414884018</v>
      </c>
      <c r="K6" s="24">
        <v>32935.516000000003</v>
      </c>
      <c r="L6" s="6">
        <f>(I6/365)/K6</f>
        <v>0.41011804141973951</v>
      </c>
      <c r="M6" s="6">
        <f>H6/$H$17</f>
        <v>0.43287340099637145</v>
      </c>
      <c r="N6" s="6">
        <f>I6/$I$17</f>
        <v>1.44392541422674E-2</v>
      </c>
    </row>
    <row r="7" spans="2:14">
      <c r="B7" s="183" t="s">
        <v>2</v>
      </c>
      <c r="C7" s="17">
        <f>G6</f>
        <v>3</v>
      </c>
      <c r="D7" s="18" t="s">
        <v>9</v>
      </c>
      <c r="E7" s="18" t="s">
        <v>10</v>
      </c>
      <c r="F7" s="18" t="s">
        <v>8</v>
      </c>
      <c r="G7" s="19">
        <v>15</v>
      </c>
      <c r="H7" s="25">
        <v>4122183</v>
      </c>
      <c r="I7" s="25">
        <v>28247635</v>
      </c>
      <c r="J7" s="25">
        <f t="shared" ref="J7:J16" si="0">I7/H7</f>
        <v>6.8525912119864643</v>
      </c>
      <c r="K7" s="25">
        <v>207178</v>
      </c>
      <c r="L7" s="20">
        <f t="shared" ref="L7:L17" si="1">(I7/365)/K7</f>
        <v>0.37354729180664842</v>
      </c>
      <c r="M7" s="21">
        <f t="shared" ref="M7:M17" si="2">H7/$H$17</f>
        <v>0.5176870438179646</v>
      </c>
      <c r="N7" s="20">
        <f t="shared" ref="N7:N17" si="3">I7/$I$17</f>
        <v>8.272954622969235E-2</v>
      </c>
    </row>
    <row r="8" spans="2:14">
      <c r="B8" s="182" t="s">
        <v>3</v>
      </c>
      <c r="C8" s="9">
        <f t="shared" ref="C8:C16" si="4">G7</f>
        <v>15</v>
      </c>
      <c r="D8" s="7" t="s">
        <v>9</v>
      </c>
      <c r="E8" s="7" t="s">
        <v>10</v>
      </c>
      <c r="F8" s="7" t="s">
        <v>8</v>
      </c>
      <c r="G8" s="10">
        <v>50</v>
      </c>
      <c r="H8" s="24">
        <v>313545</v>
      </c>
      <c r="I8" s="24">
        <v>6747384</v>
      </c>
      <c r="J8" s="24">
        <f t="shared" si="0"/>
        <v>21.519667033440175</v>
      </c>
      <c r="K8" s="24">
        <v>51081.88</v>
      </c>
      <c r="L8" s="6">
        <f t="shared" si="1"/>
        <v>0.36188925626159096</v>
      </c>
      <c r="M8" s="16">
        <f t="shared" si="2"/>
        <v>3.9376753568170969E-2</v>
      </c>
      <c r="N8" s="6">
        <f t="shared" si="3"/>
        <v>1.9761230154577064E-2</v>
      </c>
    </row>
    <row r="9" spans="2:14">
      <c r="B9" s="183" t="s">
        <v>4</v>
      </c>
      <c r="C9" s="17">
        <f t="shared" si="4"/>
        <v>50</v>
      </c>
      <c r="D9" s="18" t="s">
        <v>9</v>
      </c>
      <c r="E9" s="18" t="s">
        <v>10</v>
      </c>
      <c r="F9" s="18" t="s">
        <v>8</v>
      </c>
      <c r="G9" s="19">
        <v>300</v>
      </c>
      <c r="H9" s="25">
        <v>52916</v>
      </c>
      <c r="I9" s="25">
        <v>6294295</v>
      </c>
      <c r="J9" s="25">
        <f t="shared" si="0"/>
        <v>118.94880565424447</v>
      </c>
      <c r="K9" s="25">
        <v>40068.849000000002</v>
      </c>
      <c r="L9" s="20">
        <f t="shared" si="1"/>
        <v>0.43037532312486537</v>
      </c>
      <c r="M9" s="21">
        <f t="shared" si="2"/>
        <v>6.6454904138587281E-3</v>
      </c>
      <c r="N9" s="20">
        <f t="shared" si="3"/>
        <v>1.8434257210765484E-2</v>
      </c>
    </row>
    <row r="10" spans="2:14">
      <c r="B10" s="182" t="s">
        <v>5</v>
      </c>
      <c r="C10" s="9">
        <f t="shared" si="4"/>
        <v>300</v>
      </c>
      <c r="D10" s="7" t="s">
        <v>9</v>
      </c>
      <c r="E10" s="7" t="s">
        <v>10</v>
      </c>
      <c r="F10" s="7" t="s">
        <v>8</v>
      </c>
      <c r="G10" s="10">
        <v>1500</v>
      </c>
      <c r="H10" s="24">
        <v>21564</v>
      </c>
      <c r="I10" s="24">
        <v>12961077</v>
      </c>
      <c r="J10" s="24">
        <f t="shared" si="0"/>
        <v>601.05161380077902</v>
      </c>
      <c r="K10" s="24">
        <v>84629.228000000003</v>
      </c>
      <c r="L10" s="6">
        <f t="shared" si="1"/>
        <v>0.41959262584789264</v>
      </c>
      <c r="M10" s="16">
        <f t="shared" si="2"/>
        <v>2.7081290211741177E-3</v>
      </c>
      <c r="N10" s="6">
        <f t="shared" si="3"/>
        <v>3.7959426297390991E-2</v>
      </c>
    </row>
    <row r="11" spans="2:14">
      <c r="B11" s="183" t="s">
        <v>6</v>
      </c>
      <c r="C11" s="17">
        <f t="shared" si="4"/>
        <v>1500</v>
      </c>
      <c r="D11" s="18" t="s">
        <v>9</v>
      </c>
      <c r="E11" s="18" t="s">
        <v>10</v>
      </c>
      <c r="F11" s="18" t="s">
        <v>8</v>
      </c>
      <c r="G11" s="19">
        <v>5000</v>
      </c>
      <c r="H11" s="25">
        <v>3184</v>
      </c>
      <c r="I11" s="25">
        <v>8158213</v>
      </c>
      <c r="J11" s="25">
        <f t="shared" si="0"/>
        <v>2562.252826633166</v>
      </c>
      <c r="K11" s="25">
        <v>47957.124000000003</v>
      </c>
      <c r="L11" s="20">
        <f t="shared" si="1"/>
        <v>0.46606774195113709</v>
      </c>
      <c r="M11" s="21">
        <f t="shared" si="2"/>
        <v>3.9986471913459431E-4</v>
      </c>
      <c r="N11" s="20">
        <f t="shared" si="3"/>
        <v>2.3893159888789879E-2</v>
      </c>
    </row>
    <row r="12" spans="2:14">
      <c r="B12" s="182" t="s">
        <v>7</v>
      </c>
      <c r="C12" s="9">
        <f t="shared" si="4"/>
        <v>5000</v>
      </c>
      <c r="D12" s="7" t="s">
        <v>9</v>
      </c>
      <c r="E12" s="7" t="s">
        <v>10</v>
      </c>
      <c r="F12" s="7" t="s">
        <v>8</v>
      </c>
      <c r="G12" s="10">
        <v>15000</v>
      </c>
      <c r="H12" s="24">
        <v>1152</v>
      </c>
      <c r="I12" s="24">
        <v>9984971</v>
      </c>
      <c r="J12" s="24">
        <f t="shared" si="0"/>
        <v>8667.5095486111113</v>
      </c>
      <c r="K12" s="24">
        <v>55648.959000000003</v>
      </c>
      <c r="L12" s="6">
        <f t="shared" si="1"/>
        <v>0.49158304886721865</v>
      </c>
      <c r="M12" s="16">
        <f t="shared" si="2"/>
        <v>1.4467467224970246E-4</v>
      </c>
      <c r="N12" s="6">
        <f t="shared" si="3"/>
        <v>2.9243231157108814E-2</v>
      </c>
    </row>
    <row r="13" spans="2:14">
      <c r="B13" s="183" t="s">
        <v>31</v>
      </c>
      <c r="C13" s="17">
        <f t="shared" si="4"/>
        <v>15000</v>
      </c>
      <c r="D13" s="18" t="s">
        <v>9</v>
      </c>
      <c r="E13" s="18" t="s">
        <v>10</v>
      </c>
      <c r="F13" s="18" t="s">
        <v>8</v>
      </c>
      <c r="G13" s="19">
        <v>50000</v>
      </c>
      <c r="H13" s="25">
        <v>709</v>
      </c>
      <c r="I13" s="25">
        <v>18832948</v>
      </c>
      <c r="J13" s="25">
        <f t="shared" si="0"/>
        <v>26562.691114245416</v>
      </c>
      <c r="K13" s="25">
        <v>86680.362999999998</v>
      </c>
      <c r="L13" s="20">
        <f t="shared" si="1"/>
        <v>0.595257288069031</v>
      </c>
      <c r="M13" s="21">
        <f t="shared" si="2"/>
        <v>8.9040227973124171E-5</v>
      </c>
      <c r="N13" s="20">
        <f t="shared" si="3"/>
        <v>5.5156519907149468E-2</v>
      </c>
    </row>
    <row r="14" spans="2:14">
      <c r="B14" s="182" t="s">
        <v>32</v>
      </c>
      <c r="C14" s="9">
        <f t="shared" si="4"/>
        <v>50000</v>
      </c>
      <c r="D14" s="7" t="s">
        <v>9</v>
      </c>
      <c r="E14" s="7" t="s">
        <v>10</v>
      </c>
      <c r="F14" s="7" t="s">
        <v>8</v>
      </c>
      <c r="G14" s="10">
        <v>150000</v>
      </c>
      <c r="H14" s="24">
        <v>331</v>
      </c>
      <c r="I14" s="24">
        <v>27566254</v>
      </c>
      <c r="J14" s="24">
        <f t="shared" si="0"/>
        <v>83281.73413897281</v>
      </c>
      <c r="K14" s="24">
        <v>109696.29</v>
      </c>
      <c r="L14" s="6">
        <f t="shared" si="1"/>
        <v>0.68848256911554473</v>
      </c>
      <c r="M14" s="16">
        <f t="shared" si="2"/>
        <v>4.1568851141190547E-5</v>
      </c>
      <c r="N14" s="6">
        <f t="shared" si="3"/>
        <v>8.0733968867568617E-2</v>
      </c>
    </row>
    <row r="15" spans="2:14">
      <c r="B15" s="183" t="s">
        <v>33</v>
      </c>
      <c r="C15" s="17">
        <f t="shared" si="4"/>
        <v>150000</v>
      </c>
      <c r="D15" s="18" t="s">
        <v>9</v>
      </c>
      <c r="E15" s="18" t="s">
        <v>10</v>
      </c>
      <c r="F15" s="18" t="s">
        <v>8</v>
      </c>
      <c r="G15" s="19">
        <v>500000</v>
      </c>
      <c r="H15" s="25">
        <v>168</v>
      </c>
      <c r="I15" s="25">
        <v>50057661</v>
      </c>
      <c r="J15" s="25">
        <f t="shared" si="0"/>
        <v>297962.26785714284</v>
      </c>
      <c r="K15" s="25">
        <v>187500.67199999999</v>
      </c>
      <c r="L15" s="20">
        <f t="shared" si="1"/>
        <v>0.73143352100801418</v>
      </c>
      <c r="M15" s="21">
        <f t="shared" si="2"/>
        <v>2.109838970308161E-5</v>
      </c>
      <c r="N15" s="20">
        <f t="shared" si="3"/>
        <v>0.14660510799752857</v>
      </c>
    </row>
    <row r="16" spans="2:14">
      <c r="B16" s="182" t="s">
        <v>34</v>
      </c>
      <c r="C16" s="9">
        <f t="shared" si="4"/>
        <v>500000</v>
      </c>
      <c r="D16" s="7" t="s">
        <v>9</v>
      </c>
      <c r="E16" s="7" t="s">
        <v>10</v>
      </c>
      <c r="F16" s="7"/>
      <c r="G16" s="10"/>
      <c r="H16" s="24">
        <v>103</v>
      </c>
      <c r="I16" s="24">
        <v>167664888</v>
      </c>
      <c r="J16" s="24">
        <f t="shared" si="0"/>
        <v>1627814.4466019417</v>
      </c>
      <c r="K16" s="24">
        <v>825457.91899999999</v>
      </c>
      <c r="L16" s="6">
        <f t="shared" si="1"/>
        <v>0.55648609936498361</v>
      </c>
      <c r="M16" s="16">
        <f t="shared" si="2"/>
        <v>1.2935322258436938E-5</v>
      </c>
      <c r="N16" s="6">
        <f t="shared" si="3"/>
        <v>0.49104429814716138</v>
      </c>
    </row>
    <row r="17" spans="2:16">
      <c r="B17" s="1"/>
      <c r="E17" s="1"/>
      <c r="H17" s="32">
        <f>SUM(H6:H16)</f>
        <v>7962693</v>
      </c>
      <c r="I17" s="32">
        <f>SUM(I6:I16)</f>
        <v>341445545</v>
      </c>
      <c r="J17" s="32">
        <f t="shared" ref="J17:K17" si="5">SUM(J6:J16)</f>
        <v>2047600.7051251889</v>
      </c>
      <c r="K17" s="32">
        <f t="shared" si="5"/>
        <v>1728834.8</v>
      </c>
      <c r="L17" s="5">
        <f t="shared" si="1"/>
        <v>0.54109695534549773</v>
      </c>
      <c r="M17" s="15">
        <f t="shared" si="2"/>
        <v>1</v>
      </c>
      <c r="N17" s="5">
        <f t="shared" si="3"/>
        <v>1</v>
      </c>
    </row>
    <row r="20" spans="2:16">
      <c r="B20" s="2" t="s">
        <v>117</v>
      </c>
    </row>
    <row r="21" spans="2:16">
      <c r="B21" s="157" t="s">
        <v>118</v>
      </c>
    </row>
    <row r="22" spans="2:16">
      <c r="B22" s="157"/>
    </row>
    <row r="23" spans="2:16" s="138" customFormat="1" ht="12.75">
      <c r="B23" s="171"/>
      <c r="I23" s="172" t="s">
        <v>86</v>
      </c>
      <c r="J23" s="172" t="s">
        <v>39</v>
      </c>
      <c r="K23" s="249" t="s">
        <v>123</v>
      </c>
      <c r="L23" s="251"/>
      <c r="M23" s="252" t="s">
        <v>124</v>
      </c>
      <c r="N23" s="253"/>
    </row>
    <row r="24" spans="2:16" s="138" customFormat="1" ht="12.75">
      <c r="B24" s="172" t="s">
        <v>0</v>
      </c>
      <c r="C24" s="249" t="s">
        <v>80</v>
      </c>
      <c r="D24" s="250"/>
      <c r="E24" s="250"/>
      <c r="F24" s="250"/>
      <c r="G24" s="251"/>
      <c r="H24" s="172" t="s">
        <v>36</v>
      </c>
      <c r="I24" s="29" t="s">
        <v>87</v>
      </c>
      <c r="J24" s="29" t="s">
        <v>87</v>
      </c>
      <c r="K24" s="173" t="s">
        <v>41</v>
      </c>
      <c r="L24" s="173" t="s">
        <v>42</v>
      </c>
      <c r="M24" s="173" t="s">
        <v>41</v>
      </c>
      <c r="N24" s="173" t="s">
        <v>42</v>
      </c>
    </row>
    <row r="25" spans="2:16">
      <c r="B25" s="182" t="s">
        <v>65</v>
      </c>
      <c r="C25" s="8"/>
      <c r="D25" s="7"/>
      <c r="E25" s="7" t="s">
        <v>10</v>
      </c>
      <c r="F25" s="7" t="s">
        <v>8</v>
      </c>
      <c r="G25" s="10">
        <v>5</v>
      </c>
      <c r="H25" s="24">
        <v>4697059</v>
      </c>
      <c r="I25" s="24">
        <v>12869145</v>
      </c>
      <c r="J25" s="31">
        <f>I25/H25</f>
        <v>2.7398303917408744</v>
      </c>
      <c r="K25" s="159">
        <f>H25/$H$36</f>
        <v>0.59683557862844661</v>
      </c>
      <c r="L25" s="168">
        <f>I25/$I$36</f>
        <v>6.3507118266327017E-2</v>
      </c>
      <c r="M25" s="168">
        <f>H25/SUM($H$25:$H$29)</f>
        <v>0.59713073197620969</v>
      </c>
      <c r="N25" s="168">
        <f>I25/SUM($I$25:$I$29)</f>
        <v>0.17265851879872401</v>
      </c>
    </row>
    <row r="26" spans="2:16">
      <c r="B26" s="183" t="s">
        <v>66</v>
      </c>
      <c r="C26" s="17">
        <f>G25</f>
        <v>5</v>
      </c>
      <c r="D26" s="18" t="s">
        <v>9</v>
      </c>
      <c r="E26" s="18" t="s">
        <v>10</v>
      </c>
      <c r="F26" s="18" t="s">
        <v>8</v>
      </c>
      <c r="G26" s="19">
        <v>50</v>
      </c>
      <c r="H26" s="25">
        <v>3091965</v>
      </c>
      <c r="I26" s="25">
        <v>30358648</v>
      </c>
      <c r="J26" s="156">
        <f t="shared" ref="J26:J35" si="6">I26/H26</f>
        <v>9.8185613355907968</v>
      </c>
      <c r="K26" s="160">
        <f t="shared" ref="K26:K35" si="7">H26/$H$36</f>
        <v>0.39288301890053007</v>
      </c>
      <c r="L26" s="167">
        <f t="shared" ref="L26:L35" si="8">I26/$I$36</f>
        <v>0.14981494488886343</v>
      </c>
      <c r="M26" s="167">
        <f t="shared" ref="M26:M29" si="9">H26/SUM($H$25:$H$29)</f>
        <v>0.39307731150381997</v>
      </c>
      <c r="N26" s="167">
        <f t="shared" ref="N26:N29" si="10">I26/SUM($I$25:$I$29)</f>
        <v>0.40730593962628014</v>
      </c>
    </row>
    <row r="27" spans="2:16">
      <c r="B27" s="182" t="s">
        <v>67</v>
      </c>
      <c r="C27" s="9">
        <f t="shared" ref="C27:C35" si="11">G26</f>
        <v>50</v>
      </c>
      <c r="D27" s="7" t="s">
        <v>9</v>
      </c>
      <c r="E27" s="7" t="s">
        <v>10</v>
      </c>
      <c r="F27" s="7" t="s">
        <v>8</v>
      </c>
      <c r="G27" s="10">
        <v>100</v>
      </c>
      <c r="H27" s="24">
        <v>24836</v>
      </c>
      <c r="I27" s="24">
        <v>1771868</v>
      </c>
      <c r="J27" s="31">
        <f t="shared" si="6"/>
        <v>71.342728297632462</v>
      </c>
      <c r="K27" s="159">
        <f t="shared" si="7"/>
        <v>3.155806310037004E-3</v>
      </c>
      <c r="L27" s="168">
        <f t="shared" si="8"/>
        <v>8.7438777501007512E-3</v>
      </c>
      <c r="M27" s="168">
        <f t="shared" si="9"/>
        <v>3.1573669522484481E-3</v>
      </c>
      <c r="N27" s="168">
        <f t="shared" si="10"/>
        <v>2.3772216754637351E-2</v>
      </c>
    </row>
    <row r="28" spans="2:16" ht="17.25" thickBot="1">
      <c r="B28" s="184" t="s">
        <v>68</v>
      </c>
      <c r="C28" s="148">
        <f t="shared" si="11"/>
        <v>100</v>
      </c>
      <c r="D28" s="149" t="s">
        <v>9</v>
      </c>
      <c r="E28" s="149" t="s">
        <v>10</v>
      </c>
      <c r="F28" s="149" t="s">
        <v>8</v>
      </c>
      <c r="G28" s="150">
        <v>8000</v>
      </c>
      <c r="H28" s="151">
        <v>51874</v>
      </c>
      <c r="I28" s="151">
        <v>24632730</v>
      </c>
      <c r="J28" s="151">
        <f t="shared" si="6"/>
        <v>474.85696109804525</v>
      </c>
      <c r="K28" s="161">
        <f t="shared" si="7"/>
        <v>6.5914115206498454E-3</v>
      </c>
      <c r="L28" s="169">
        <f t="shared" si="8"/>
        <v>0.12155847939645575</v>
      </c>
      <c r="M28" s="169">
        <f t="shared" si="9"/>
        <v>6.5946711741397971E-3</v>
      </c>
      <c r="N28" s="169">
        <f t="shared" si="10"/>
        <v>0.33048432322185295</v>
      </c>
    </row>
    <row r="29" spans="2:16" ht="17.25" thickBot="1">
      <c r="B29" s="185" t="s">
        <v>69</v>
      </c>
      <c r="C29" s="144">
        <f t="shared" si="11"/>
        <v>8000</v>
      </c>
      <c r="D29" s="145" t="s">
        <v>9</v>
      </c>
      <c r="E29" s="145" t="s">
        <v>10</v>
      </c>
      <c r="F29" s="145"/>
      <c r="G29" s="146"/>
      <c r="H29" s="147">
        <v>314</v>
      </c>
      <c r="I29" s="147">
        <v>4902854</v>
      </c>
      <c r="J29" s="147">
        <f t="shared" si="6"/>
        <v>15614.184713375796</v>
      </c>
      <c r="K29" s="162">
        <f t="shared" si="7"/>
        <v>3.9898662479933131E-5</v>
      </c>
      <c r="L29" s="170">
        <f t="shared" si="8"/>
        <v>2.4194779748035671E-2</v>
      </c>
      <c r="M29" s="170">
        <f t="shared" si="9"/>
        <v>3.9918393582139339E-5</v>
      </c>
      <c r="N29" s="170">
        <f t="shared" si="10"/>
        <v>6.5779001598505513E-2</v>
      </c>
      <c r="P29" s="175"/>
    </row>
    <row r="30" spans="2:16">
      <c r="B30" s="186" t="s">
        <v>70</v>
      </c>
      <c r="C30" s="152">
        <f t="shared" si="11"/>
        <v>0</v>
      </c>
      <c r="D30" s="153" t="s">
        <v>9</v>
      </c>
      <c r="E30" s="153" t="s">
        <v>10</v>
      </c>
      <c r="F30" s="153" t="s">
        <v>8</v>
      </c>
      <c r="G30" s="154">
        <v>5000</v>
      </c>
      <c r="H30" s="155">
        <v>649</v>
      </c>
      <c r="I30" s="155">
        <v>296446</v>
      </c>
      <c r="J30" s="155">
        <f t="shared" si="6"/>
        <v>456.77349768875195</v>
      </c>
      <c r="K30" s="163">
        <f t="shared" si="7"/>
        <v>8.2465706845466887E-5</v>
      </c>
      <c r="L30" s="165">
        <f t="shared" si="8"/>
        <v>1.4629123521088293E-3</v>
      </c>
      <c r="M30" s="165">
        <f>H30/SUM($H$30:$H$35)</f>
        <v>0.16683804627249357</v>
      </c>
      <c r="N30" s="165">
        <f>I30/SUM($I$30:$I$35)</f>
        <v>2.3140727339774157E-3</v>
      </c>
      <c r="P30" s="176"/>
    </row>
    <row r="31" spans="2:16">
      <c r="B31" s="187" t="s">
        <v>71</v>
      </c>
      <c r="C31" s="140">
        <f t="shared" si="11"/>
        <v>5000</v>
      </c>
      <c r="D31" s="141" t="s">
        <v>9</v>
      </c>
      <c r="E31" s="141" t="s">
        <v>10</v>
      </c>
      <c r="F31" s="141" t="s">
        <v>8</v>
      </c>
      <c r="G31" s="142">
        <v>500</v>
      </c>
      <c r="H31" s="143">
        <v>1422</v>
      </c>
      <c r="I31" s="143">
        <v>3176060</v>
      </c>
      <c r="J31" s="143">
        <f t="shared" si="6"/>
        <v>2233.5161744022503</v>
      </c>
      <c r="K31" s="164">
        <f t="shared" si="7"/>
        <v>1.8068757339638507E-4</v>
      </c>
      <c r="L31" s="166">
        <f t="shared" si="8"/>
        <v>1.5673334789603397E-2</v>
      </c>
      <c r="M31" s="166">
        <f t="shared" ref="M31:M35" si="12">H31/SUM($H$30:$H$35)</f>
        <v>0.3655526992287918</v>
      </c>
      <c r="N31" s="166">
        <f t="shared" ref="N31:N35" si="13">I31/SUM($I$30:$I$35)</f>
        <v>2.479248783075606E-2</v>
      </c>
    </row>
    <row r="32" spans="2:16">
      <c r="B32" s="183" t="s">
        <v>72</v>
      </c>
      <c r="C32" s="17">
        <f t="shared" si="11"/>
        <v>500</v>
      </c>
      <c r="D32" s="18" t="s">
        <v>9</v>
      </c>
      <c r="E32" s="18" t="s">
        <v>10</v>
      </c>
      <c r="F32" s="18" t="s">
        <v>8</v>
      </c>
      <c r="G32" s="19">
        <v>5000</v>
      </c>
      <c r="H32" s="25">
        <v>1117</v>
      </c>
      <c r="I32" s="25">
        <v>13578912</v>
      </c>
      <c r="J32" s="25">
        <f t="shared" si="6"/>
        <v>12156.590868397494</v>
      </c>
      <c r="K32" s="160">
        <f t="shared" si="7"/>
        <v>1.4193250315313794E-4</v>
      </c>
      <c r="L32" s="167">
        <f t="shared" si="8"/>
        <v>6.7009701911979955E-2</v>
      </c>
      <c r="M32" s="167">
        <f t="shared" si="12"/>
        <v>0.28714652956298198</v>
      </c>
      <c r="N32" s="167">
        <f t="shared" si="13"/>
        <v>0.10599768597410233</v>
      </c>
    </row>
    <row r="33" spans="2:14">
      <c r="B33" s="182" t="s">
        <v>73</v>
      </c>
      <c r="C33" s="9">
        <f t="shared" si="11"/>
        <v>5000</v>
      </c>
      <c r="D33" s="7" t="s">
        <v>9</v>
      </c>
      <c r="E33" s="7" t="s">
        <v>10</v>
      </c>
      <c r="F33" s="7" t="s">
        <v>8</v>
      </c>
      <c r="G33" s="10">
        <v>30000</v>
      </c>
      <c r="H33" s="24">
        <v>412</v>
      </c>
      <c r="I33" s="24">
        <v>20206771</v>
      </c>
      <c r="J33" s="24">
        <f t="shared" si="6"/>
        <v>49045.560679611648</v>
      </c>
      <c r="K33" s="159">
        <f t="shared" si="7"/>
        <v>5.2351111279402713E-5</v>
      </c>
      <c r="L33" s="168">
        <f t="shared" si="8"/>
        <v>9.9717098197089793E-2</v>
      </c>
      <c r="M33" s="168">
        <f t="shared" si="12"/>
        <v>0.10591259640102828</v>
      </c>
      <c r="N33" s="168">
        <f t="shared" si="13"/>
        <v>0.15773509446180944</v>
      </c>
    </row>
    <row r="34" spans="2:14">
      <c r="B34" s="183" t="s">
        <v>74</v>
      </c>
      <c r="C34" s="17">
        <f t="shared" si="11"/>
        <v>30000</v>
      </c>
      <c r="D34" s="18" t="s">
        <v>9</v>
      </c>
      <c r="E34" s="18" t="s">
        <v>10</v>
      </c>
      <c r="F34" s="18" t="s">
        <v>8</v>
      </c>
      <c r="G34" s="19">
        <v>100000</v>
      </c>
      <c r="H34" s="25">
        <v>257</v>
      </c>
      <c r="I34" s="25">
        <v>53072352</v>
      </c>
      <c r="J34" s="25">
        <f t="shared" si="6"/>
        <v>206507.20622568094</v>
      </c>
      <c r="K34" s="160">
        <f t="shared" si="7"/>
        <v>3.2655911647588581E-5</v>
      </c>
      <c r="L34" s="167">
        <f t="shared" si="8"/>
        <v>0.2619033459593576</v>
      </c>
      <c r="M34" s="167">
        <f t="shared" si="12"/>
        <v>6.6066838046272489E-2</v>
      </c>
      <c r="N34" s="167">
        <f t="shared" si="13"/>
        <v>0.4142855113283761</v>
      </c>
    </row>
    <row r="35" spans="2:14">
      <c r="B35" s="182" t="s">
        <v>75</v>
      </c>
      <c r="C35" s="9">
        <f t="shared" si="11"/>
        <v>100000</v>
      </c>
      <c r="D35" s="7" t="s">
        <v>9</v>
      </c>
      <c r="E35" s="7" t="s">
        <v>10</v>
      </c>
      <c r="F35" s="7"/>
      <c r="G35" s="10"/>
      <c r="H35" s="24">
        <v>33</v>
      </c>
      <c r="I35" s="24">
        <v>37775199</v>
      </c>
      <c r="J35" s="24">
        <f t="shared" si="6"/>
        <v>1144703</v>
      </c>
      <c r="K35" s="159">
        <f t="shared" si="7"/>
        <v>4.1931715345152656E-6</v>
      </c>
      <c r="L35" s="168">
        <f t="shared" si="8"/>
        <v>0.18641440674007778</v>
      </c>
      <c r="M35" s="168">
        <f t="shared" si="12"/>
        <v>8.4832904884318758E-3</v>
      </c>
      <c r="N35" s="168">
        <f t="shared" si="13"/>
        <v>0.29487514767097867</v>
      </c>
    </row>
    <row r="36" spans="2:14">
      <c r="B36" s="1"/>
      <c r="E36" s="1"/>
      <c r="H36" s="32">
        <f>SUM(H25:H35)</f>
        <v>7869938</v>
      </c>
      <c r="I36" s="32">
        <f>SUM(I25:I35)</f>
        <v>202640985</v>
      </c>
      <c r="J36" s="32">
        <f>SUM(J25:J35)</f>
        <v>1431275.5902402799</v>
      </c>
      <c r="K36" s="15"/>
      <c r="L36" s="5"/>
      <c r="M36" s="15"/>
      <c r="N36" s="5"/>
    </row>
  </sheetData>
  <customSheetViews>
    <customSheetView guid="{96C67CFB-CE46-46EB-8800-9D77F2045444}" showPageBreaks="1" showGridLines="0" fitToPage="1" topLeftCell="A13">
      <selection activeCell="Q29" sqref="Q29"/>
      <pageMargins left="0.70866141732283472" right="0.70866141732283472" top="0.74803149606299213" bottom="0.74803149606299213" header="0.31496062992125984" footer="0.31496062992125984"/>
      <pageSetup paperSize="9" scale="96" orientation="landscape" r:id="rId1"/>
      <headerFooter>
        <oddHeader>&amp;L&amp;F&amp;R&amp;A</oddHeader>
        <oddFooter>&amp;R&amp;Z&amp;F</oddFooter>
      </headerFooter>
    </customSheetView>
    <customSheetView guid="{DE30ACA8-1284-4798-8E7A-589852EF3C29}" showGridLines="0" fitToPage="1">
      <selection activeCell="J24" sqref="J24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&amp;L&amp;F&amp;R&amp;A</oddHeader>
        <oddFooter>&amp;R&amp;Z&amp;F</oddFooter>
      </headerFooter>
    </customSheetView>
  </customSheetViews>
  <mergeCells count="4">
    <mergeCell ref="C5:G5"/>
    <mergeCell ref="C24:G24"/>
    <mergeCell ref="K23:L23"/>
    <mergeCell ref="M23:N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landscape" r:id="rId3"/>
  <headerFooter>
    <oddHeader>&amp;LANEXO I: CÁLCULOS DEL IMPACTO PROMEDIO DE LA NUEVA METODOLOGÍA DE PEAJES SOBRE LOS CLIENTES&amp;R&amp;A</oddHeader>
  </headerFooter>
  <legacy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B23"/>
  <sheetViews>
    <sheetView showGridLines="0" zoomScale="80" zoomScaleNormal="80" workbookViewId="0">
      <selection activeCell="AV16" sqref="AV16"/>
    </sheetView>
  </sheetViews>
  <sheetFormatPr baseColWidth="10" defaultColWidth="11" defaultRowHeight="16.5" outlineLevelCol="1"/>
  <cols>
    <col min="1" max="1" width="2.140625" style="62" customWidth="1"/>
    <col min="2" max="2" width="10.140625" style="61" customWidth="1"/>
    <col min="3" max="3" width="6.7109375" style="62" customWidth="1"/>
    <col min="4" max="4" width="10.42578125" style="62" customWidth="1"/>
    <col min="5" max="5" width="8.42578125" style="62" customWidth="1"/>
    <col min="6" max="6" width="13.42578125" style="69" hidden="1" customWidth="1" outlineLevel="1"/>
    <col min="7" max="7" width="10" style="69" hidden="1" customWidth="1" outlineLevel="1"/>
    <col min="8" max="8" width="12.5703125" style="73" hidden="1" customWidth="1" outlineLevel="1"/>
    <col min="9" max="9" width="11.5703125" style="73" hidden="1" customWidth="1" outlineLevel="1"/>
    <col min="10" max="10" width="13.28515625" style="73" customWidth="1" collapsed="1"/>
    <col min="11" max="11" width="13.42578125" style="62" hidden="1" customWidth="1" outlineLevel="1"/>
    <col min="12" max="12" width="14.5703125" style="62" customWidth="1" collapsed="1"/>
    <col min="13" max="13" width="13.42578125" style="62" hidden="1" customWidth="1" outlineLevel="1"/>
    <col min="14" max="14" width="10" style="62" hidden="1" customWidth="1" outlineLevel="1"/>
    <col min="15" max="15" width="14.140625" style="62" hidden="1" customWidth="1" outlineLevel="1"/>
    <col min="16" max="16" width="12.5703125" style="62" hidden="1" customWidth="1" outlineLevel="1"/>
    <col min="17" max="17" width="14.140625" style="62" bestFit="1" customWidth="1" collapsed="1"/>
    <col min="18" max="18" width="17.28515625" style="62" bestFit="1" customWidth="1"/>
    <col min="19" max="19" width="8.5703125" style="62" customWidth="1"/>
    <col min="20" max="20" width="1.42578125" style="62" customWidth="1"/>
    <col min="21" max="21" width="9" style="62" customWidth="1"/>
    <col min="22" max="22" width="13.42578125" style="62" hidden="1" customWidth="1" outlineLevel="1"/>
    <col min="23" max="23" width="8.5703125" style="62" hidden="1" customWidth="1" outlineLevel="1"/>
    <col min="24" max="24" width="12.5703125" style="62" hidden="1" customWidth="1" outlineLevel="1"/>
    <col min="25" max="25" width="11.5703125" style="62" hidden="1" customWidth="1" outlineLevel="1"/>
    <col min="26" max="26" width="14.140625" style="62" bestFit="1" customWidth="1" collapsed="1"/>
    <col min="27" max="27" width="14.140625" style="62" hidden="1" customWidth="1" outlineLevel="1"/>
    <col min="28" max="28" width="14.140625" style="62" customWidth="1" collapsed="1"/>
    <col min="29" max="32" width="13.42578125" style="62" hidden="1" customWidth="1" outlineLevel="1"/>
    <col min="33" max="33" width="15.5703125" style="62" customWidth="1" collapsed="1"/>
    <col min="34" max="37" width="13.42578125" style="62" hidden="1" customWidth="1" outlineLevel="1"/>
    <col min="38" max="38" width="15.85546875" style="62" customWidth="1" collapsed="1"/>
    <col min="39" max="39" width="13.42578125" style="62" hidden="1" customWidth="1" outlineLevel="1"/>
    <col min="40" max="40" width="10.7109375" style="62" hidden="1" customWidth="1" outlineLevel="1"/>
    <col min="41" max="41" width="7.42578125" style="62" hidden="1" customWidth="1" outlineLevel="1"/>
    <col min="42" max="42" width="12.5703125" style="62" hidden="1" customWidth="1" outlineLevel="1"/>
    <col min="43" max="43" width="10.7109375" style="62" hidden="1" customWidth="1" outlineLevel="1"/>
    <col min="44" max="44" width="12.5703125" style="62" hidden="1" customWidth="1" outlineLevel="1"/>
    <col min="45" max="45" width="14.42578125" style="62" customWidth="1" collapsed="1"/>
    <col min="46" max="46" width="16.7109375" style="62" bestFit="1" customWidth="1"/>
    <col min="47" max="47" width="8.42578125" style="62" customWidth="1"/>
    <col min="48" max="48" width="0.7109375" style="62" customWidth="1"/>
    <col min="49" max="49" width="11" style="69" hidden="1" customWidth="1" outlineLevel="1"/>
    <col min="50" max="50" width="12.140625" style="69" hidden="1" customWidth="1" outlineLevel="1"/>
    <col min="51" max="51" width="10.5703125" style="62" hidden="1" customWidth="1" outlineLevel="1"/>
    <col min="52" max="52" width="13.85546875" style="62" customWidth="1" collapsed="1"/>
    <col min="53" max="53" width="9.42578125" style="62" customWidth="1"/>
    <col min="54" max="54" width="8.5703125" style="62" bestFit="1" customWidth="1"/>
    <col min="55" max="16384" width="11" style="62"/>
  </cols>
  <sheetData>
    <row r="2" spans="2:54" ht="18">
      <c r="B2" s="188" t="s">
        <v>191</v>
      </c>
    </row>
    <row r="3" spans="2:54" ht="20.25">
      <c r="B3" s="189" t="s">
        <v>136</v>
      </c>
    </row>
    <row r="5" spans="2:54">
      <c r="B5" s="115" t="s">
        <v>38</v>
      </c>
      <c r="C5" s="262">
        <v>0.85</v>
      </c>
      <c r="D5" s="263"/>
    </row>
    <row r="6" spans="2:54">
      <c r="B6" s="281" t="s">
        <v>106</v>
      </c>
      <c r="C6" s="281"/>
      <c r="D6" s="116">
        <v>0.35</v>
      </c>
      <c r="F6" s="264" t="s">
        <v>100</v>
      </c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6"/>
      <c r="V6" s="267" t="s">
        <v>101</v>
      </c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  <c r="AQ6" s="268"/>
      <c r="AR6" s="268"/>
      <c r="AS6" s="268"/>
      <c r="AT6" s="268"/>
      <c r="AU6" s="269"/>
    </row>
    <row r="7" spans="2:54">
      <c r="F7" s="270" t="s">
        <v>94</v>
      </c>
      <c r="G7" s="271"/>
      <c r="H7" s="271"/>
      <c r="I7" s="271"/>
      <c r="J7" s="272"/>
      <c r="K7" s="270" t="s">
        <v>95</v>
      </c>
      <c r="L7" s="272"/>
      <c r="M7" s="270" t="s">
        <v>96</v>
      </c>
      <c r="N7" s="271"/>
      <c r="O7" s="271"/>
      <c r="P7" s="271"/>
      <c r="Q7" s="272"/>
      <c r="R7" s="270" t="s">
        <v>99</v>
      </c>
      <c r="S7" s="272"/>
      <c r="V7" s="273" t="s">
        <v>94</v>
      </c>
      <c r="W7" s="274"/>
      <c r="X7" s="274"/>
      <c r="Y7" s="274"/>
      <c r="Z7" s="275"/>
      <c r="AA7" s="273" t="s">
        <v>132</v>
      </c>
      <c r="AB7" s="275"/>
      <c r="AC7" s="273" t="s">
        <v>133</v>
      </c>
      <c r="AD7" s="274"/>
      <c r="AE7" s="274"/>
      <c r="AF7" s="274"/>
      <c r="AG7" s="275"/>
      <c r="AH7" s="273" t="s">
        <v>134</v>
      </c>
      <c r="AI7" s="274"/>
      <c r="AJ7" s="274"/>
      <c r="AK7" s="274"/>
      <c r="AL7" s="275"/>
      <c r="AM7" s="273" t="s">
        <v>104</v>
      </c>
      <c r="AN7" s="274"/>
      <c r="AO7" s="274"/>
      <c r="AP7" s="274"/>
      <c r="AQ7" s="274"/>
      <c r="AR7" s="274"/>
      <c r="AS7" s="275"/>
      <c r="AT7" s="273" t="s">
        <v>99</v>
      </c>
      <c r="AU7" s="275"/>
    </row>
    <row r="8" spans="2:54">
      <c r="B8" s="63" t="s">
        <v>86</v>
      </c>
      <c r="C8" s="135" t="s">
        <v>38</v>
      </c>
      <c r="D8" s="134" t="s">
        <v>88</v>
      </c>
      <c r="F8" s="129" t="s">
        <v>54</v>
      </c>
      <c r="G8" s="75" t="s">
        <v>91</v>
      </c>
      <c r="H8" s="78" t="s">
        <v>54</v>
      </c>
      <c r="I8" s="78" t="s">
        <v>91</v>
      </c>
      <c r="J8" s="79" t="s">
        <v>92</v>
      </c>
      <c r="K8" s="129" t="s">
        <v>54</v>
      </c>
      <c r="L8" s="130" t="s">
        <v>92</v>
      </c>
      <c r="M8" s="129" t="s">
        <v>90</v>
      </c>
      <c r="N8" s="75" t="s">
        <v>91</v>
      </c>
      <c r="O8" s="75" t="s">
        <v>90</v>
      </c>
      <c r="P8" s="75" t="s">
        <v>91</v>
      </c>
      <c r="Q8" s="130" t="s">
        <v>92</v>
      </c>
      <c r="R8" s="257" t="s">
        <v>98</v>
      </c>
      <c r="S8" s="258"/>
      <c r="V8" s="132" t="s">
        <v>54</v>
      </c>
      <c r="W8" s="84" t="s">
        <v>91</v>
      </c>
      <c r="X8" s="85" t="s">
        <v>54</v>
      </c>
      <c r="Y8" s="85" t="s">
        <v>91</v>
      </c>
      <c r="Z8" s="86" t="s">
        <v>92</v>
      </c>
      <c r="AA8" s="181"/>
      <c r="AB8" s="180" t="s">
        <v>92</v>
      </c>
      <c r="AC8" s="132" t="s">
        <v>54</v>
      </c>
      <c r="AD8" s="84" t="s">
        <v>91</v>
      </c>
      <c r="AE8" s="84" t="s">
        <v>54</v>
      </c>
      <c r="AF8" s="84" t="s">
        <v>91</v>
      </c>
      <c r="AG8" s="133" t="s">
        <v>92</v>
      </c>
      <c r="AH8" s="132" t="s">
        <v>54</v>
      </c>
      <c r="AI8" s="84" t="s">
        <v>91</v>
      </c>
      <c r="AJ8" s="84" t="s">
        <v>54</v>
      </c>
      <c r="AK8" s="84" t="s">
        <v>91</v>
      </c>
      <c r="AL8" s="133" t="s">
        <v>92</v>
      </c>
      <c r="AM8" s="132" t="s">
        <v>90</v>
      </c>
      <c r="AN8" s="84" t="s">
        <v>50</v>
      </c>
      <c r="AO8" s="84" t="s">
        <v>91</v>
      </c>
      <c r="AP8" s="84" t="s">
        <v>90</v>
      </c>
      <c r="AQ8" s="84" t="s">
        <v>50</v>
      </c>
      <c r="AR8" s="84" t="s">
        <v>91</v>
      </c>
      <c r="AS8" s="133" t="s">
        <v>92</v>
      </c>
      <c r="AT8" s="259" t="s">
        <v>98</v>
      </c>
      <c r="AU8" s="260"/>
      <c r="AW8" s="131" t="s">
        <v>94</v>
      </c>
      <c r="AX8" s="131" t="s">
        <v>95</v>
      </c>
      <c r="AY8" s="131" t="s">
        <v>96</v>
      </c>
      <c r="AZ8" s="261" t="s">
        <v>92</v>
      </c>
      <c r="BA8" s="261"/>
    </row>
    <row r="9" spans="2:54" s="69" customFormat="1">
      <c r="B9" s="66" t="s">
        <v>87</v>
      </c>
      <c r="C9" s="67" t="s">
        <v>53</v>
      </c>
      <c r="D9" s="68" t="s">
        <v>37</v>
      </c>
      <c r="E9" s="123" t="s">
        <v>89</v>
      </c>
      <c r="F9" s="68" t="s">
        <v>58</v>
      </c>
      <c r="G9" s="68" t="s">
        <v>12</v>
      </c>
      <c r="H9" s="72" t="s">
        <v>93</v>
      </c>
      <c r="I9" s="72" t="s">
        <v>93</v>
      </c>
      <c r="J9" s="72" t="s">
        <v>93</v>
      </c>
      <c r="K9" s="68" t="s">
        <v>58</v>
      </c>
      <c r="L9" s="68" t="s">
        <v>93</v>
      </c>
      <c r="M9" s="68" t="s">
        <v>58</v>
      </c>
      <c r="N9" s="68" t="s">
        <v>12</v>
      </c>
      <c r="O9" s="68" t="s">
        <v>93</v>
      </c>
      <c r="P9" s="68" t="s">
        <v>93</v>
      </c>
      <c r="Q9" s="68" t="s">
        <v>93</v>
      </c>
      <c r="R9" s="68" t="s">
        <v>93</v>
      </c>
      <c r="S9" s="68" t="s">
        <v>12</v>
      </c>
      <c r="U9" s="122" t="s">
        <v>89</v>
      </c>
      <c r="V9" s="68" t="s">
        <v>58</v>
      </c>
      <c r="W9" s="68" t="s">
        <v>12</v>
      </c>
      <c r="X9" s="72" t="s">
        <v>93</v>
      </c>
      <c r="Y9" s="72" t="s">
        <v>93</v>
      </c>
      <c r="Z9" s="72" t="s">
        <v>93</v>
      </c>
      <c r="AA9" s="68" t="s">
        <v>12</v>
      </c>
      <c r="AB9" s="72" t="s">
        <v>93</v>
      </c>
      <c r="AC9" s="68" t="s">
        <v>58</v>
      </c>
      <c r="AD9" s="68" t="s">
        <v>12</v>
      </c>
      <c r="AE9" s="68" t="s">
        <v>93</v>
      </c>
      <c r="AF9" s="68" t="s">
        <v>93</v>
      </c>
      <c r="AG9" s="68" t="s">
        <v>93</v>
      </c>
      <c r="AH9" s="68" t="s">
        <v>58</v>
      </c>
      <c r="AI9" s="68" t="s">
        <v>12</v>
      </c>
      <c r="AJ9" s="68" t="s">
        <v>93</v>
      </c>
      <c r="AK9" s="68" t="s">
        <v>93</v>
      </c>
      <c r="AL9" s="68" t="s">
        <v>93</v>
      </c>
      <c r="AM9" s="68" t="s">
        <v>58</v>
      </c>
      <c r="AN9" s="68" t="s">
        <v>97</v>
      </c>
      <c r="AO9" s="68" t="s">
        <v>12</v>
      </c>
      <c r="AP9" s="68" t="s">
        <v>93</v>
      </c>
      <c r="AQ9" s="68" t="s">
        <v>93</v>
      </c>
      <c r="AR9" s="68" t="s">
        <v>93</v>
      </c>
      <c r="AS9" s="68" t="s">
        <v>93</v>
      </c>
      <c r="AT9" s="68" t="s">
        <v>93</v>
      </c>
      <c r="AU9" s="68" t="s">
        <v>12</v>
      </c>
      <c r="AW9" s="93" t="s">
        <v>102</v>
      </c>
      <c r="AX9" s="93" t="s">
        <v>102</v>
      </c>
      <c r="AY9" s="93" t="s">
        <v>102</v>
      </c>
      <c r="AZ9" s="95" t="s">
        <v>103</v>
      </c>
      <c r="BA9" s="96" t="s">
        <v>53</v>
      </c>
      <c r="BB9" s="178" t="s">
        <v>129</v>
      </c>
    </row>
    <row r="10" spans="2:54">
      <c r="B10" s="97">
        <v>8250</v>
      </c>
      <c r="C10" s="99">
        <f>IF($C$5&lt;&gt;"Memoria CNMC",$C$5,IF(B10&gt;'Tipología Clientes'!$C$16,'Tipología Clientes'!$L$16,IF(B10&gt;'Tipología Clientes'!$C$15,'Tipología Clientes'!$L$15,IF(B10&gt;'Tipología Clientes'!$C$14,'Tipología Clientes'!$L$14,IF(B10&gt;'Tipología Clientes'!$C$13,'Tipología Clientes'!$L$13,IF(B10&gt;'Tipología Clientes'!$C$12,'Tipología Clientes'!$L$12,IF(B10&gt;'Tipología Clientes'!$C$11,'Tipología Clientes'!$L$11,IF(B10&gt;'Tipología Clientes'!$C$10,'Tipología Clientes'!$L$10,IF(B10&gt;'Tipología Clientes'!$C$9,'Tipología Clientes'!$L$9,IF(B10&gt;'Tipología Clientes'!$C$8,'Tipología Clientes'!$L$8,IF(B10&gt;'Tipología Clientes'!$C$7,'Tipología Clientes'!$L$7,'Tipología Clientes'!$L$6)))))))))))</f>
        <v>0.85</v>
      </c>
      <c r="D10" s="100">
        <f>B10/365/C10</f>
        <v>26.591458501208702</v>
      </c>
      <c r="E10" s="71" t="str">
        <f>IF(B10&gt;'Peajes Actuales'!$C$15,'Peajes Actuales'!$B$15,IF(B10&gt;'Peajes Actuales'!$C$14,'Peajes Actuales'!$B$14,IF(B10&gt;'Peajes Actuales'!$C$13,'Peajes Actuales'!$B$13,IF(B10&gt;'Peajes Actuales'!$C$12,'Peajes Actuales'!$B$12,'Peajes Actuales'!$B$11))))</f>
        <v>3.5</v>
      </c>
      <c r="F10" s="81">
        <f>'Peajes Actuales'!$H$29</f>
        <v>19.612000000000002</v>
      </c>
      <c r="G10" s="81">
        <f>'Peajes Actuales'!$I$29</f>
        <v>0.11599999999999999</v>
      </c>
      <c r="H10" s="110">
        <f>D10*F10*12</f>
        <v>6258.1402095084613</v>
      </c>
      <c r="I10" s="110">
        <f>B10*G10</f>
        <v>956.99999999999989</v>
      </c>
      <c r="J10" s="109">
        <f>H10+I10</f>
        <v>7215.1402095084613</v>
      </c>
      <c r="K10" s="82">
        <f>'Peajes Actuales'!$I$5</f>
        <v>10.848000000000001</v>
      </c>
      <c r="L10" s="109">
        <f>12*K10*D10</f>
        <v>3461.5697018533447</v>
      </c>
      <c r="M10" s="83">
        <f>VLOOKUP(E10,'Peajes Actuales'!$B$15:$J$15,7,FALSE)</f>
        <v>59.258000000000003</v>
      </c>
      <c r="N10" s="83">
        <f>VLOOKUP(E10,'Peajes Actuales'!$B$15:$J$15,9,FALSE)</f>
        <v>2.0099999999999998</v>
      </c>
      <c r="O10" s="110">
        <f>IF($D$6&lt;=0.3,M10*D10*12,(D10-$D$6*0.5*D10)*M10*12)</f>
        <v>15599.990813859789</v>
      </c>
      <c r="P10" s="110">
        <f>B10*N10</f>
        <v>16582.5</v>
      </c>
      <c r="Q10" s="109">
        <f>SUM(O10:P10)</f>
        <v>32182.490813859789</v>
      </c>
      <c r="R10" s="111">
        <f>J10+L10+Q10</f>
        <v>42859.200725221599</v>
      </c>
      <c r="S10" s="74">
        <f>R10/B10</f>
        <v>5.1950546333601935</v>
      </c>
      <c r="U10" s="71" t="str">
        <f>IF(B10&gt;'Peajes Circular CNMC'!$C$23,'Peajes Circular CNMC'!$B$23,IF(B10&gt;'Peajes Circular CNMC'!$C$22,'Peajes Circular CNMC'!$B$22,IF(B10&gt;'Peajes Circular CNMC'!$C$21,'Peajes Circular CNMC'!$B$21,IF(B10&gt;'Peajes Circular CNMC'!$C$20,'Peajes Circular CNMC'!$B$20,IF(B10&gt;'Peajes Circular CNMC'!$C$19,'Peajes Circular CNMC'!$B$19,IF(B10&gt;'Peajes Circular CNMC'!$C$18,'Peajes Circular CNMC'!$B$18,IF(B10&gt;'Peajes Circular CNMC'!$C$17,'Peajes Circular CNMC'!$B$17,IF(B10&gt;'Peajes Circular CNMC'!$C$16,'Peajes Circular CNMC'!$B$16,IF(B10&gt;'Peajes Circular CNMC'!$C$15,'Peajes Circular CNMC'!$B$15,IF(B10&gt;'Peajes Circular CNMC'!$C$14,'Peajes Circular CNMC'!$B$14,'Peajes Circular CNMC'!$B$13))))))))))</f>
        <v>D.7</v>
      </c>
      <c r="V10" s="89">
        <f>'Peajes Circular CNMC'!$H$30</f>
        <v>25.224</v>
      </c>
      <c r="W10" s="81">
        <f>'Peajes Circular CNMC'!$I$30</f>
        <v>0.10178</v>
      </c>
      <c r="X10" s="110">
        <f>12*V10*D10</f>
        <v>8048.9153908138596</v>
      </c>
      <c r="Y10" s="110">
        <f>W10*B10</f>
        <v>839.68499999999995</v>
      </c>
      <c r="Z10" s="109">
        <f>X10+Y10</f>
        <v>8888.6003908138591</v>
      </c>
      <c r="AA10" s="81">
        <f>'Peajes Circular CNMC'!$H$35</f>
        <v>0.14737</v>
      </c>
      <c r="AB10" s="109">
        <f>B10*AA10</f>
        <v>1215.8025</v>
      </c>
      <c r="AC10" s="90">
        <f>'Peajes Circular CNMC'!$J$6</f>
        <v>13.922499999999999</v>
      </c>
      <c r="AD10" s="90">
        <f>'Peajes Circular CNMC'!$J$7</f>
        <v>2.5181930000000002E-2</v>
      </c>
      <c r="AE10" s="110">
        <f>AC10*12*D10</f>
        <v>4442.6349717969379</v>
      </c>
      <c r="AF10" s="110">
        <f>AD10*B10</f>
        <v>207.7509225</v>
      </c>
      <c r="AG10" s="109">
        <f>AE10+AF10</f>
        <v>4650.3858942969382</v>
      </c>
      <c r="AH10" s="90">
        <f>'Peajes Circular CNMC'!$K$6</f>
        <v>8.5966666666666658</v>
      </c>
      <c r="AI10" s="90">
        <f>'Peajes Circular CNMC'!$K$7</f>
        <v>2.5181930000000002E-2</v>
      </c>
      <c r="AJ10" s="110">
        <f>AH10*12*D10</f>
        <v>2743.1748589846898</v>
      </c>
      <c r="AK10" s="110">
        <f>AI10*B10</f>
        <v>207.7509225</v>
      </c>
      <c r="AL10" s="109">
        <f>AJ10+AK10</f>
        <v>2950.9257814846897</v>
      </c>
      <c r="AM10" s="91">
        <f>VLOOKUP(U10,'Peajes Circular CNMC'!$B$13:$J$23,7,FALSE)</f>
        <v>70.858333333333334</v>
      </c>
      <c r="AN10" s="80">
        <f>VLOOKUP(U10,'Peajes Circular CNMC'!$B$13:$J$23,8,FALSE)</f>
        <v>0</v>
      </c>
      <c r="AO10" s="80">
        <f>VLOOKUP(U10,'Peajes Circular CNMC'!$B$13:$J$23,9,FALSE)</f>
        <v>0.83020000000000005</v>
      </c>
      <c r="AP10" s="110">
        <f>12*AM10*D10</f>
        <v>22610.717163577759</v>
      </c>
      <c r="AQ10" s="110">
        <f>12*AN10</f>
        <v>0</v>
      </c>
      <c r="AR10" s="110">
        <f>AO10*B10</f>
        <v>6849.1500000000005</v>
      </c>
      <c r="AS10" s="109">
        <f>AP10+AQ10+AR10</f>
        <v>29459.867163577761</v>
      </c>
      <c r="AT10" s="111">
        <f>Z10+AB10+AG10+AL10+AS10</f>
        <v>47165.581730173246</v>
      </c>
      <c r="AU10" s="74">
        <f>AT10/B10</f>
        <v>5.7170402097179691</v>
      </c>
      <c r="AW10" s="70">
        <f>(Z10-J10)/J10</f>
        <v>0.23193730581978586</v>
      </c>
      <c r="AX10" s="92">
        <f>(AG10-L10)/L10</f>
        <v>0.34343268945504529</v>
      </c>
      <c r="AY10" s="92">
        <f>(AL10+AS10-Q10)/Q10</f>
        <v>7.0939857490564442E-3</v>
      </c>
      <c r="AZ10" s="112">
        <f t="shared" ref="AZ10:AZ23" si="0">AT10-R10</f>
        <v>4306.3810049516469</v>
      </c>
      <c r="BA10" s="92">
        <f t="shared" ref="BA10:BA23" si="1">AZ10/R10</f>
        <v>0.10047739883346556</v>
      </c>
      <c r="BB10" s="179">
        <f>AU10-S10</f>
        <v>0.52198557635777565</v>
      </c>
    </row>
    <row r="11" spans="2:54">
      <c r="B11" s="97">
        <v>8500</v>
      </c>
      <c r="C11" s="99">
        <f>IF($C$5&lt;&gt;"Memoria CNMC",$C$5,IF(B11&gt;'Tipología Clientes'!$C$16,'Tipología Clientes'!$L$16,IF(B11&gt;'Tipología Clientes'!$C$15,'Tipología Clientes'!$L$15,IF(B11&gt;'Tipología Clientes'!$C$14,'Tipología Clientes'!$L$14,IF(B11&gt;'Tipología Clientes'!$C$13,'Tipología Clientes'!$L$13,IF(B11&gt;'Tipología Clientes'!$C$12,'Tipología Clientes'!$L$12,IF(B11&gt;'Tipología Clientes'!$C$11,'Tipología Clientes'!$L$11,IF(B11&gt;'Tipología Clientes'!$C$10,'Tipología Clientes'!$L$10,IF(B11&gt;'Tipología Clientes'!$C$9,'Tipología Clientes'!$L$9,IF(B11&gt;'Tipología Clientes'!$C$8,'Tipología Clientes'!$L$8,IF(B11&gt;'Tipología Clientes'!$C$7,'Tipología Clientes'!$L$7,'Tipología Clientes'!$L$6)))))))))))</f>
        <v>0.85</v>
      </c>
      <c r="D11" s="100">
        <f t="shared" ref="D11:D23" si="2">B11/365/C11</f>
        <v>27.397260273972602</v>
      </c>
      <c r="E11" s="71" t="str">
        <f>IF(B11&gt;'Peajes Actuales'!$C$15,'Peajes Actuales'!$B$15,IF(B11&gt;'Peajes Actuales'!$C$14,'Peajes Actuales'!$B$14,IF(B11&gt;'Peajes Actuales'!$C$13,'Peajes Actuales'!$B$13,IF(B11&gt;'Peajes Actuales'!$C$12,'Peajes Actuales'!$B$12,'Peajes Actuales'!$B$11))))</f>
        <v>3.5</v>
      </c>
      <c r="F11" s="81">
        <f>'Peajes Actuales'!$H$29</f>
        <v>19.612000000000002</v>
      </c>
      <c r="G11" s="81">
        <f>'Peajes Actuales'!$I$29</f>
        <v>0.11599999999999999</v>
      </c>
      <c r="H11" s="110">
        <f t="shared" ref="H11:H23" si="3">D11*F11*12</f>
        <v>6447.7808219178096</v>
      </c>
      <c r="I11" s="110">
        <f t="shared" ref="I11:I23" si="4">B11*G11</f>
        <v>985.99999999999989</v>
      </c>
      <c r="J11" s="109">
        <f t="shared" ref="J11:J23" si="5">H11+I11</f>
        <v>7433.7808219178096</v>
      </c>
      <c r="K11" s="82">
        <f>'Peajes Actuales'!$I$5</f>
        <v>10.848000000000001</v>
      </c>
      <c r="L11" s="109">
        <f t="shared" ref="L11:L23" si="6">12*K11*D11</f>
        <v>3566.465753424658</v>
      </c>
      <c r="M11" s="83">
        <f>VLOOKUP(E11,'Peajes Actuales'!$B$15:$J$15,7,FALSE)</f>
        <v>59.258000000000003</v>
      </c>
      <c r="N11" s="83">
        <f>VLOOKUP(E11,'Peajes Actuales'!$B$15:$J$15,9,FALSE)</f>
        <v>2.0099999999999998</v>
      </c>
      <c r="O11" s="110">
        <f t="shared" ref="O11:O23" si="7">IF($D$6&lt;=0.3,M11*D11*12,(D11-$D$6*0.5*D11)*M11*12)</f>
        <v>16072.71780821918</v>
      </c>
      <c r="P11" s="110">
        <f t="shared" ref="P11:P23" si="8">B11*N11</f>
        <v>17085</v>
      </c>
      <c r="Q11" s="109">
        <f t="shared" ref="Q11:Q23" si="9">SUM(O11:P11)</f>
        <v>33157.717808219182</v>
      </c>
      <c r="R11" s="111">
        <f t="shared" ref="R11:R23" si="10">J11+L11+Q11</f>
        <v>44157.964383561652</v>
      </c>
      <c r="S11" s="74">
        <f t="shared" ref="S11:S23" si="11">R11/B11</f>
        <v>5.1950546333601944</v>
      </c>
      <c r="U11" s="71" t="str">
        <f>IF(B11&gt;'Peajes Circular CNMC'!$C$23,'Peajes Circular CNMC'!$B$23,IF(B11&gt;'Peajes Circular CNMC'!$C$22,'Peajes Circular CNMC'!$B$22,IF(B11&gt;'Peajes Circular CNMC'!$C$21,'Peajes Circular CNMC'!$B$21,IF(B11&gt;'Peajes Circular CNMC'!$C$20,'Peajes Circular CNMC'!$B$20,IF(B11&gt;'Peajes Circular CNMC'!$C$19,'Peajes Circular CNMC'!$B$19,IF(B11&gt;'Peajes Circular CNMC'!$C$18,'Peajes Circular CNMC'!$B$18,IF(B11&gt;'Peajes Circular CNMC'!$C$17,'Peajes Circular CNMC'!$B$17,IF(B11&gt;'Peajes Circular CNMC'!$C$16,'Peajes Circular CNMC'!$B$16,IF(B11&gt;'Peajes Circular CNMC'!$C$15,'Peajes Circular CNMC'!$B$15,IF(B11&gt;'Peajes Circular CNMC'!$C$14,'Peajes Circular CNMC'!$B$14,'Peajes Circular CNMC'!$B$13))))))))))</f>
        <v>D.7</v>
      </c>
      <c r="V11" s="89">
        <f>'Peajes Circular CNMC'!$H$30</f>
        <v>25.224</v>
      </c>
      <c r="W11" s="81">
        <f>'Peajes Circular CNMC'!$I$30</f>
        <v>0.10178</v>
      </c>
      <c r="X11" s="110">
        <f t="shared" ref="X11:X23" si="12">12*V11*D11</f>
        <v>8292.8219178082181</v>
      </c>
      <c r="Y11" s="110">
        <f t="shared" ref="Y11:Y23" si="13">W11*B11</f>
        <v>865.13</v>
      </c>
      <c r="Z11" s="109">
        <f t="shared" ref="Z11:Z23" si="14">X11+Y11</f>
        <v>9157.9519178082173</v>
      </c>
      <c r="AA11" s="81">
        <f>'Peajes Circular CNMC'!$H$35</f>
        <v>0.14737</v>
      </c>
      <c r="AB11" s="109">
        <f t="shared" ref="AB11:AB23" si="15">B11*AA11</f>
        <v>1252.645</v>
      </c>
      <c r="AC11" s="90">
        <f>'Peajes Circular CNMC'!$J$6</f>
        <v>13.922499999999999</v>
      </c>
      <c r="AD11" s="90">
        <f>'Peajes Circular CNMC'!$J$7</f>
        <v>2.5181930000000002E-2</v>
      </c>
      <c r="AE11" s="110">
        <f t="shared" ref="AE11:AE23" si="16">AC11*12*D11</f>
        <v>4577.2602739726026</v>
      </c>
      <c r="AF11" s="110">
        <f t="shared" ref="AF11:AF23" si="17">AD11*B11</f>
        <v>214.04640500000002</v>
      </c>
      <c r="AG11" s="109">
        <f t="shared" ref="AG11:AG23" si="18">AE11+AF11</f>
        <v>4791.3066789726026</v>
      </c>
      <c r="AH11" s="90">
        <f>'Peajes Circular CNMC'!$K$6</f>
        <v>8.5966666666666658</v>
      </c>
      <c r="AI11" s="90">
        <f>'Peajes Circular CNMC'!$K$7</f>
        <v>2.5181930000000002E-2</v>
      </c>
      <c r="AJ11" s="110">
        <f t="shared" ref="AJ11:AJ23" si="19">AH11*12*D11</f>
        <v>2826.3013698630134</v>
      </c>
      <c r="AK11" s="110">
        <f t="shared" ref="AK11:AK23" si="20">AI11*B11</f>
        <v>214.04640500000002</v>
      </c>
      <c r="AL11" s="109">
        <f t="shared" ref="AL11:AL23" si="21">AJ11+AK11</f>
        <v>3040.3477748630135</v>
      </c>
      <c r="AM11" s="91">
        <f>VLOOKUP(U11,'Peajes Circular CNMC'!$B$13:$J$23,7,FALSE)</f>
        <v>70.858333333333334</v>
      </c>
      <c r="AN11" s="80">
        <f>VLOOKUP(U11,'Peajes Circular CNMC'!$B$13:$J$23,8,FALSE)</f>
        <v>0</v>
      </c>
      <c r="AO11" s="80">
        <f>VLOOKUP(U11,'Peajes Circular CNMC'!$B$13:$J$23,9,FALSE)</f>
        <v>0.83020000000000005</v>
      </c>
      <c r="AP11" s="110">
        <f t="shared" ref="AP11:AP23" si="22">12*AM11*D11</f>
        <v>23295.890410958902</v>
      </c>
      <c r="AQ11" s="110">
        <f t="shared" ref="AQ11:AQ23" si="23">12*AN11</f>
        <v>0</v>
      </c>
      <c r="AR11" s="110">
        <f t="shared" ref="AR11:AR23" si="24">AO11*B11</f>
        <v>7056.7000000000007</v>
      </c>
      <c r="AS11" s="109">
        <f t="shared" ref="AS11:AS23" si="25">AP11+AQ11+AR11</f>
        <v>30352.590410958903</v>
      </c>
      <c r="AT11" s="111">
        <f t="shared" ref="AT11:AT22" si="26">Z11+AB11+AG11+AL11+AS11</f>
        <v>48594.841782602736</v>
      </c>
      <c r="AU11" s="74">
        <f t="shared" ref="AU11:AU23" si="27">AT11/B11</f>
        <v>5.7170402097179691</v>
      </c>
      <c r="AW11" s="70">
        <f t="shared" ref="AW11:AW23" si="28">(Z11-J11)/J11</f>
        <v>0.23193730581978556</v>
      </c>
      <c r="AX11" s="92">
        <f t="shared" ref="AX11:AX23" si="29">(AG11-L11)/L11</f>
        <v>0.34343268945504524</v>
      </c>
      <c r="AY11" s="92">
        <f t="shared" ref="AY11:AY23" si="30">(AL11+AS11-Q11)/Q11</f>
        <v>7.0939857490561102E-3</v>
      </c>
      <c r="AZ11" s="112">
        <f t="shared" si="0"/>
        <v>4436.8773990410846</v>
      </c>
      <c r="BA11" s="92">
        <f t="shared" si="1"/>
        <v>0.1004773988334654</v>
      </c>
      <c r="BB11" s="179">
        <f t="shared" ref="BB11:BB23" si="31">AU11-S11</f>
        <v>0.52198557635777476</v>
      </c>
    </row>
    <row r="12" spans="2:54">
      <c r="B12" s="97">
        <v>9000</v>
      </c>
      <c r="C12" s="99">
        <f>IF($C$5&lt;&gt;"Memoria CNMC",$C$5,IF(B12&gt;'Tipología Clientes'!$C$16,'Tipología Clientes'!$L$16,IF(B12&gt;'Tipología Clientes'!$C$15,'Tipología Clientes'!$L$15,IF(B12&gt;'Tipología Clientes'!$C$14,'Tipología Clientes'!$L$14,IF(B12&gt;'Tipología Clientes'!$C$13,'Tipología Clientes'!$L$13,IF(B12&gt;'Tipología Clientes'!$C$12,'Tipología Clientes'!$L$12,IF(B12&gt;'Tipología Clientes'!$C$11,'Tipología Clientes'!$L$11,IF(B12&gt;'Tipología Clientes'!$C$10,'Tipología Clientes'!$L$10,IF(B12&gt;'Tipología Clientes'!$C$9,'Tipología Clientes'!$L$9,IF(B12&gt;'Tipología Clientes'!$C$8,'Tipología Clientes'!$L$8,IF(B12&gt;'Tipología Clientes'!$C$7,'Tipología Clientes'!$L$7,'Tipología Clientes'!$L$6)))))))))))</f>
        <v>0.85</v>
      </c>
      <c r="D12" s="100">
        <f t="shared" si="2"/>
        <v>29.008863819500402</v>
      </c>
      <c r="E12" s="71" t="str">
        <f>IF(B12&gt;'Peajes Actuales'!$C$15,'Peajes Actuales'!$B$15,IF(B12&gt;'Peajes Actuales'!$C$14,'Peajes Actuales'!$B$14,IF(B12&gt;'Peajes Actuales'!$C$13,'Peajes Actuales'!$B$13,IF(B12&gt;'Peajes Actuales'!$C$12,'Peajes Actuales'!$B$12,'Peajes Actuales'!$B$11))))</f>
        <v>3.5</v>
      </c>
      <c r="F12" s="81">
        <f>'Peajes Actuales'!$H$29</f>
        <v>19.612000000000002</v>
      </c>
      <c r="G12" s="81">
        <f>'Peajes Actuales'!$I$29</f>
        <v>0.11599999999999999</v>
      </c>
      <c r="H12" s="110">
        <f t="shared" si="3"/>
        <v>6827.0620467365025</v>
      </c>
      <c r="I12" s="110">
        <f t="shared" si="4"/>
        <v>1044</v>
      </c>
      <c r="J12" s="109">
        <f t="shared" si="5"/>
        <v>7871.0620467365025</v>
      </c>
      <c r="K12" s="82">
        <f>'Peajes Actuales'!$I$5</f>
        <v>10.848000000000001</v>
      </c>
      <c r="L12" s="109">
        <f t="shared" si="6"/>
        <v>3776.2578565672848</v>
      </c>
      <c r="M12" s="83">
        <f>VLOOKUP(E12,'Peajes Actuales'!$B$15:$J$15,7,FALSE)</f>
        <v>59.258000000000003</v>
      </c>
      <c r="N12" s="83">
        <f>VLOOKUP(E12,'Peajes Actuales'!$B$15:$J$15,9,FALSE)</f>
        <v>2.0099999999999998</v>
      </c>
      <c r="O12" s="110">
        <f t="shared" si="7"/>
        <v>17018.171796937953</v>
      </c>
      <c r="P12" s="110">
        <f t="shared" si="8"/>
        <v>18089.999999999996</v>
      </c>
      <c r="Q12" s="109">
        <f t="shared" si="9"/>
        <v>35108.171796937953</v>
      </c>
      <c r="R12" s="111">
        <f t="shared" si="10"/>
        <v>46755.491700241742</v>
      </c>
      <c r="S12" s="74">
        <f t="shared" si="11"/>
        <v>5.1950546333601935</v>
      </c>
      <c r="U12" s="71" t="str">
        <f>IF(B12&gt;'Peajes Circular CNMC'!$C$23,'Peajes Circular CNMC'!$B$23,IF(B12&gt;'Peajes Circular CNMC'!$C$22,'Peajes Circular CNMC'!$B$22,IF(B12&gt;'Peajes Circular CNMC'!$C$21,'Peajes Circular CNMC'!$B$21,IF(B12&gt;'Peajes Circular CNMC'!$C$20,'Peajes Circular CNMC'!$B$20,IF(B12&gt;'Peajes Circular CNMC'!$C$19,'Peajes Circular CNMC'!$B$19,IF(B12&gt;'Peajes Circular CNMC'!$C$18,'Peajes Circular CNMC'!$B$18,IF(B12&gt;'Peajes Circular CNMC'!$C$17,'Peajes Circular CNMC'!$B$17,IF(B12&gt;'Peajes Circular CNMC'!$C$16,'Peajes Circular CNMC'!$B$16,IF(B12&gt;'Peajes Circular CNMC'!$C$15,'Peajes Circular CNMC'!$B$15,IF(B12&gt;'Peajes Circular CNMC'!$C$14,'Peajes Circular CNMC'!$B$14,'Peajes Circular CNMC'!$B$13))))))))))</f>
        <v>D.7</v>
      </c>
      <c r="V12" s="89">
        <f>'Peajes Circular CNMC'!$H$30</f>
        <v>25.224</v>
      </c>
      <c r="W12" s="81">
        <f>'Peajes Circular CNMC'!$I$30</f>
        <v>0.10178</v>
      </c>
      <c r="X12" s="110">
        <f t="shared" si="12"/>
        <v>8780.634971796937</v>
      </c>
      <c r="Y12" s="110">
        <f t="shared" si="13"/>
        <v>916.02</v>
      </c>
      <c r="Z12" s="109">
        <f t="shared" si="14"/>
        <v>9696.6549717969374</v>
      </c>
      <c r="AA12" s="81">
        <f>'Peajes Circular CNMC'!$H$35</f>
        <v>0.14737</v>
      </c>
      <c r="AB12" s="109">
        <f t="shared" si="15"/>
        <v>1326.33</v>
      </c>
      <c r="AC12" s="90">
        <f>'Peajes Circular CNMC'!$J$6</f>
        <v>13.922499999999999</v>
      </c>
      <c r="AD12" s="90">
        <f>'Peajes Circular CNMC'!$J$7</f>
        <v>2.5181930000000002E-2</v>
      </c>
      <c r="AE12" s="110">
        <f t="shared" si="16"/>
        <v>4846.510878323932</v>
      </c>
      <c r="AF12" s="110">
        <f t="shared" si="17"/>
        <v>226.63737</v>
      </c>
      <c r="AG12" s="109">
        <f t="shared" si="18"/>
        <v>5073.1482483239324</v>
      </c>
      <c r="AH12" s="90">
        <f>'Peajes Circular CNMC'!$K$6</f>
        <v>8.5966666666666658</v>
      </c>
      <c r="AI12" s="90">
        <f>'Peajes Circular CNMC'!$K$7</f>
        <v>2.5181930000000002E-2</v>
      </c>
      <c r="AJ12" s="110">
        <f t="shared" si="19"/>
        <v>2992.5543916196611</v>
      </c>
      <c r="AK12" s="110">
        <f t="shared" si="20"/>
        <v>226.63737</v>
      </c>
      <c r="AL12" s="109">
        <f t="shared" si="21"/>
        <v>3219.1917616196611</v>
      </c>
      <c r="AM12" s="91">
        <f>VLOOKUP(U12,'Peajes Circular CNMC'!$B$13:$J$23,7,FALSE)</f>
        <v>70.858333333333334</v>
      </c>
      <c r="AN12" s="80">
        <f>VLOOKUP(U12,'Peajes Circular CNMC'!$B$13:$J$23,8,FALSE)</f>
        <v>0</v>
      </c>
      <c r="AO12" s="80">
        <f>VLOOKUP(U12,'Peajes Circular CNMC'!$B$13:$J$23,9,FALSE)</f>
        <v>0.83020000000000005</v>
      </c>
      <c r="AP12" s="110">
        <f t="shared" si="22"/>
        <v>24666.236905721191</v>
      </c>
      <c r="AQ12" s="110">
        <f t="shared" si="23"/>
        <v>0</v>
      </c>
      <c r="AR12" s="110">
        <f t="shared" si="24"/>
        <v>7471.8</v>
      </c>
      <c r="AS12" s="109">
        <f t="shared" si="25"/>
        <v>32138.03690572119</v>
      </c>
      <c r="AT12" s="111">
        <f t="shared" si="26"/>
        <v>51453.361887461724</v>
      </c>
      <c r="AU12" s="74">
        <f t="shared" si="27"/>
        <v>5.7170402097179691</v>
      </c>
      <c r="AW12" s="70">
        <f t="shared" si="28"/>
        <v>0.231937305819786</v>
      </c>
      <c r="AX12" s="92">
        <f t="shared" si="29"/>
        <v>0.3434326894550454</v>
      </c>
      <c r="AY12" s="92">
        <f t="shared" si="30"/>
        <v>7.0939857490563306E-3</v>
      </c>
      <c r="AZ12" s="112">
        <f t="shared" si="0"/>
        <v>4697.8701872199817</v>
      </c>
      <c r="BA12" s="92">
        <f t="shared" si="1"/>
        <v>0.10047739883346564</v>
      </c>
      <c r="BB12" s="179">
        <f t="shared" si="31"/>
        <v>0.52198557635777565</v>
      </c>
    </row>
    <row r="13" spans="2:54">
      <c r="B13" s="97">
        <v>9500</v>
      </c>
      <c r="C13" s="99">
        <f>IF($C$5&lt;&gt;"Memoria CNMC",$C$5,IF(B13&gt;'Tipología Clientes'!$C$16,'Tipología Clientes'!$L$16,IF(B13&gt;'Tipología Clientes'!$C$15,'Tipología Clientes'!$L$15,IF(B13&gt;'Tipología Clientes'!$C$14,'Tipología Clientes'!$L$14,IF(B13&gt;'Tipología Clientes'!$C$13,'Tipología Clientes'!$L$13,IF(B13&gt;'Tipología Clientes'!$C$12,'Tipología Clientes'!$L$12,IF(B13&gt;'Tipología Clientes'!$C$11,'Tipología Clientes'!$L$11,IF(B13&gt;'Tipología Clientes'!$C$10,'Tipología Clientes'!$L$10,IF(B13&gt;'Tipología Clientes'!$C$9,'Tipología Clientes'!$L$9,IF(B13&gt;'Tipología Clientes'!$C$8,'Tipología Clientes'!$L$8,IF(B13&gt;'Tipología Clientes'!$C$7,'Tipología Clientes'!$L$7,'Tipología Clientes'!$L$6)))))))))))</f>
        <v>0.85</v>
      </c>
      <c r="D13" s="100">
        <f t="shared" si="2"/>
        <v>30.620467365028205</v>
      </c>
      <c r="E13" s="71" t="str">
        <f>IF(B13&gt;'Peajes Actuales'!$C$15,'Peajes Actuales'!$B$15,IF(B13&gt;'Peajes Actuales'!$C$14,'Peajes Actuales'!$B$14,IF(B13&gt;'Peajes Actuales'!$C$13,'Peajes Actuales'!$B$13,IF(B13&gt;'Peajes Actuales'!$C$12,'Peajes Actuales'!$B$12,'Peajes Actuales'!$B$11))))</f>
        <v>3.5</v>
      </c>
      <c r="F13" s="81">
        <f>'Peajes Actuales'!$H$29</f>
        <v>19.612000000000002</v>
      </c>
      <c r="G13" s="81">
        <f>'Peajes Actuales'!$I$29</f>
        <v>0.11599999999999999</v>
      </c>
      <c r="H13" s="110">
        <f t="shared" si="3"/>
        <v>7206.343271555198</v>
      </c>
      <c r="I13" s="110">
        <f t="shared" si="4"/>
        <v>1102</v>
      </c>
      <c r="J13" s="109">
        <f t="shared" si="5"/>
        <v>8308.3432715551971</v>
      </c>
      <c r="K13" s="82">
        <f>'Peajes Actuales'!$I$5</f>
        <v>10.848000000000001</v>
      </c>
      <c r="L13" s="109">
        <f t="shared" si="6"/>
        <v>3986.0499597099119</v>
      </c>
      <c r="M13" s="83">
        <f>VLOOKUP(E13,'Peajes Actuales'!$B$15:$J$15,7,FALSE)</f>
        <v>59.258000000000003</v>
      </c>
      <c r="N13" s="83">
        <f>VLOOKUP(E13,'Peajes Actuales'!$B$15:$J$15,9,FALSE)</f>
        <v>2.0099999999999998</v>
      </c>
      <c r="O13" s="110">
        <f t="shared" si="7"/>
        <v>17963.625785656732</v>
      </c>
      <c r="P13" s="110">
        <f t="shared" si="8"/>
        <v>19094.999999999996</v>
      </c>
      <c r="Q13" s="109">
        <f t="shared" si="9"/>
        <v>37058.625785656724</v>
      </c>
      <c r="R13" s="111">
        <f t="shared" si="10"/>
        <v>49353.019016921833</v>
      </c>
      <c r="S13" s="74">
        <f t="shared" si="11"/>
        <v>5.1950546333601926</v>
      </c>
      <c r="U13" s="71" t="str">
        <f>IF(B13&gt;'Peajes Circular CNMC'!$C$23,'Peajes Circular CNMC'!$B$23,IF(B13&gt;'Peajes Circular CNMC'!$C$22,'Peajes Circular CNMC'!$B$22,IF(B13&gt;'Peajes Circular CNMC'!$C$21,'Peajes Circular CNMC'!$B$21,IF(B13&gt;'Peajes Circular CNMC'!$C$20,'Peajes Circular CNMC'!$B$20,IF(B13&gt;'Peajes Circular CNMC'!$C$19,'Peajes Circular CNMC'!$B$19,IF(B13&gt;'Peajes Circular CNMC'!$C$18,'Peajes Circular CNMC'!$B$18,IF(B13&gt;'Peajes Circular CNMC'!$C$17,'Peajes Circular CNMC'!$B$17,IF(B13&gt;'Peajes Circular CNMC'!$C$16,'Peajes Circular CNMC'!$B$16,IF(B13&gt;'Peajes Circular CNMC'!$C$15,'Peajes Circular CNMC'!$B$15,IF(B13&gt;'Peajes Circular CNMC'!$C$14,'Peajes Circular CNMC'!$B$14,'Peajes Circular CNMC'!$B$13))))))))))</f>
        <v>D.7</v>
      </c>
      <c r="V13" s="89">
        <f>'Peajes Circular CNMC'!$H$30</f>
        <v>25.224</v>
      </c>
      <c r="W13" s="81">
        <f>'Peajes Circular CNMC'!$I$30</f>
        <v>0.10178</v>
      </c>
      <c r="X13" s="110">
        <f t="shared" si="12"/>
        <v>9268.4480257856576</v>
      </c>
      <c r="Y13" s="110">
        <f t="shared" si="13"/>
        <v>966.91</v>
      </c>
      <c r="Z13" s="109">
        <f t="shared" si="14"/>
        <v>10235.358025785657</v>
      </c>
      <c r="AA13" s="81">
        <f>'Peajes Circular CNMC'!$H$35</f>
        <v>0.14737</v>
      </c>
      <c r="AB13" s="109">
        <f t="shared" si="15"/>
        <v>1400.0150000000001</v>
      </c>
      <c r="AC13" s="90">
        <f>'Peajes Circular CNMC'!$J$6</f>
        <v>13.922499999999999</v>
      </c>
      <c r="AD13" s="90">
        <f>'Peajes Circular CNMC'!$J$7</f>
        <v>2.5181930000000002E-2</v>
      </c>
      <c r="AE13" s="110">
        <f t="shared" si="16"/>
        <v>5115.7614826752615</v>
      </c>
      <c r="AF13" s="110">
        <f t="shared" si="17"/>
        <v>239.22833500000002</v>
      </c>
      <c r="AG13" s="109">
        <f t="shared" si="18"/>
        <v>5354.9898176752613</v>
      </c>
      <c r="AH13" s="90">
        <f>'Peajes Circular CNMC'!$K$6</f>
        <v>8.5966666666666658</v>
      </c>
      <c r="AI13" s="90">
        <f>'Peajes Circular CNMC'!$K$7</f>
        <v>2.5181930000000002E-2</v>
      </c>
      <c r="AJ13" s="110">
        <f t="shared" si="19"/>
        <v>3158.8074133763093</v>
      </c>
      <c r="AK13" s="110">
        <f t="shared" si="20"/>
        <v>239.22833500000002</v>
      </c>
      <c r="AL13" s="109">
        <f t="shared" si="21"/>
        <v>3398.0357483763091</v>
      </c>
      <c r="AM13" s="91">
        <f>VLOOKUP(U13,'Peajes Circular CNMC'!$B$13:$J$23,7,FALSE)</f>
        <v>70.858333333333334</v>
      </c>
      <c r="AN13" s="80">
        <f>VLOOKUP(U13,'Peajes Circular CNMC'!$B$13:$J$23,8,FALSE)</f>
        <v>0</v>
      </c>
      <c r="AO13" s="80">
        <f>VLOOKUP(U13,'Peajes Circular CNMC'!$B$13:$J$23,9,FALSE)</f>
        <v>0.83020000000000005</v>
      </c>
      <c r="AP13" s="110">
        <f t="shared" si="22"/>
        <v>26036.58340048348</v>
      </c>
      <c r="AQ13" s="110">
        <f t="shared" si="23"/>
        <v>0</v>
      </c>
      <c r="AR13" s="110">
        <f t="shared" si="24"/>
        <v>7886.9000000000005</v>
      </c>
      <c r="AS13" s="109">
        <f t="shared" si="25"/>
        <v>33923.483400483477</v>
      </c>
      <c r="AT13" s="111">
        <f t="shared" si="26"/>
        <v>54311.881992320705</v>
      </c>
      <c r="AU13" s="74">
        <f t="shared" si="27"/>
        <v>5.7170402097179691</v>
      </c>
      <c r="AW13" s="70">
        <f t="shared" si="28"/>
        <v>0.23193730581978614</v>
      </c>
      <c r="AX13" s="92">
        <f t="shared" si="29"/>
        <v>0.34343268945504513</v>
      </c>
      <c r="AY13" s="92">
        <f t="shared" si="30"/>
        <v>7.0939857490563314E-3</v>
      </c>
      <c r="AZ13" s="112">
        <f t="shared" si="0"/>
        <v>4958.8629753988716</v>
      </c>
      <c r="BA13" s="92">
        <f t="shared" si="1"/>
        <v>0.10047739883346568</v>
      </c>
      <c r="BB13" s="179">
        <f t="shared" si="31"/>
        <v>0.52198557635777654</v>
      </c>
    </row>
    <row r="14" spans="2:54">
      <c r="B14" s="97">
        <v>10000</v>
      </c>
      <c r="C14" s="99">
        <f>IF($C$5&lt;&gt;"Memoria CNMC",$C$5,IF(B14&gt;'Tipología Clientes'!$C$16,'Tipología Clientes'!$L$16,IF(B14&gt;'Tipología Clientes'!$C$15,'Tipología Clientes'!$L$15,IF(B14&gt;'Tipología Clientes'!$C$14,'Tipología Clientes'!$L$14,IF(B14&gt;'Tipología Clientes'!$C$13,'Tipología Clientes'!$L$13,IF(B14&gt;'Tipología Clientes'!$C$12,'Tipología Clientes'!$L$12,IF(B14&gt;'Tipología Clientes'!$C$11,'Tipología Clientes'!$L$11,IF(B14&gt;'Tipología Clientes'!$C$10,'Tipología Clientes'!$L$10,IF(B14&gt;'Tipología Clientes'!$C$9,'Tipología Clientes'!$L$9,IF(B14&gt;'Tipología Clientes'!$C$8,'Tipología Clientes'!$L$8,IF(B14&gt;'Tipología Clientes'!$C$7,'Tipología Clientes'!$L$7,'Tipología Clientes'!$L$6)))))))))))</f>
        <v>0.85</v>
      </c>
      <c r="D14" s="100">
        <f t="shared" si="2"/>
        <v>32.232070910556004</v>
      </c>
      <c r="E14" s="71" t="str">
        <f>IF(B14&gt;'Peajes Actuales'!$C$15,'Peajes Actuales'!$B$15,IF(B14&gt;'Peajes Actuales'!$C$14,'Peajes Actuales'!$B$14,IF(B14&gt;'Peajes Actuales'!$C$13,'Peajes Actuales'!$B$13,IF(B14&gt;'Peajes Actuales'!$C$12,'Peajes Actuales'!$B$12,'Peajes Actuales'!$B$11))))</f>
        <v>3.5</v>
      </c>
      <c r="F14" s="81">
        <f>'Peajes Actuales'!$H$29</f>
        <v>19.612000000000002</v>
      </c>
      <c r="G14" s="81">
        <f>'Peajes Actuales'!$I$29</f>
        <v>0.11599999999999999</v>
      </c>
      <c r="H14" s="110">
        <f t="shared" si="3"/>
        <v>7585.6244963738936</v>
      </c>
      <c r="I14" s="110">
        <f t="shared" si="4"/>
        <v>1160</v>
      </c>
      <c r="J14" s="109">
        <f t="shared" si="5"/>
        <v>8745.6244963738936</v>
      </c>
      <c r="K14" s="82">
        <f>'Peajes Actuales'!$I$5</f>
        <v>10.848000000000001</v>
      </c>
      <c r="L14" s="109">
        <f t="shared" si="6"/>
        <v>4195.8420628525391</v>
      </c>
      <c r="M14" s="83">
        <f>VLOOKUP(E14,'Peajes Actuales'!$B$15:$J$15,7,FALSE)</f>
        <v>59.258000000000003</v>
      </c>
      <c r="N14" s="83">
        <f>VLOOKUP(E14,'Peajes Actuales'!$B$15:$J$15,9,FALSE)</f>
        <v>2.0099999999999998</v>
      </c>
      <c r="O14" s="110">
        <f t="shared" si="7"/>
        <v>18909.079774375507</v>
      </c>
      <c r="P14" s="110">
        <f t="shared" si="8"/>
        <v>20099.999999999996</v>
      </c>
      <c r="Q14" s="109">
        <f t="shared" si="9"/>
        <v>39009.079774375503</v>
      </c>
      <c r="R14" s="111">
        <f t="shared" si="10"/>
        <v>51950.546333601931</v>
      </c>
      <c r="S14" s="74">
        <f t="shared" si="11"/>
        <v>5.1950546333601935</v>
      </c>
      <c r="U14" s="71" t="str">
        <f>IF(B14&gt;'Peajes Circular CNMC'!$C$23,'Peajes Circular CNMC'!$B$23,IF(B14&gt;'Peajes Circular CNMC'!$C$22,'Peajes Circular CNMC'!$B$22,IF(B14&gt;'Peajes Circular CNMC'!$C$21,'Peajes Circular CNMC'!$B$21,IF(B14&gt;'Peajes Circular CNMC'!$C$20,'Peajes Circular CNMC'!$B$20,IF(B14&gt;'Peajes Circular CNMC'!$C$19,'Peajes Circular CNMC'!$B$19,IF(B14&gt;'Peajes Circular CNMC'!$C$18,'Peajes Circular CNMC'!$B$18,IF(B14&gt;'Peajes Circular CNMC'!$C$17,'Peajes Circular CNMC'!$B$17,IF(B14&gt;'Peajes Circular CNMC'!$C$16,'Peajes Circular CNMC'!$B$16,IF(B14&gt;'Peajes Circular CNMC'!$C$15,'Peajes Circular CNMC'!$B$15,IF(B14&gt;'Peajes Circular CNMC'!$C$14,'Peajes Circular CNMC'!$B$14,'Peajes Circular CNMC'!$B$13))))))))))</f>
        <v>D.7</v>
      </c>
      <c r="V14" s="89">
        <f>'Peajes Circular CNMC'!$H$30</f>
        <v>25.224</v>
      </c>
      <c r="W14" s="81">
        <f>'Peajes Circular CNMC'!$I$30</f>
        <v>0.10178</v>
      </c>
      <c r="X14" s="110">
        <f t="shared" si="12"/>
        <v>9756.2610797743746</v>
      </c>
      <c r="Y14" s="110">
        <f t="shared" si="13"/>
        <v>1017.8</v>
      </c>
      <c r="Z14" s="109">
        <f t="shared" si="14"/>
        <v>10774.061079774374</v>
      </c>
      <c r="AA14" s="81">
        <f>'Peajes Circular CNMC'!$H$35</f>
        <v>0.14737</v>
      </c>
      <c r="AB14" s="109">
        <f t="shared" si="15"/>
        <v>1473.7</v>
      </c>
      <c r="AC14" s="90">
        <f>'Peajes Circular CNMC'!$J$6</f>
        <v>13.922499999999999</v>
      </c>
      <c r="AD14" s="90">
        <f>'Peajes Circular CNMC'!$J$7</f>
        <v>2.5181930000000002E-2</v>
      </c>
      <c r="AE14" s="110">
        <f t="shared" si="16"/>
        <v>5385.012087026591</v>
      </c>
      <c r="AF14" s="110">
        <f t="shared" si="17"/>
        <v>251.81930000000003</v>
      </c>
      <c r="AG14" s="109">
        <f t="shared" si="18"/>
        <v>5636.8313870265911</v>
      </c>
      <c r="AH14" s="90">
        <f>'Peajes Circular CNMC'!$K$6</f>
        <v>8.5966666666666658</v>
      </c>
      <c r="AI14" s="90">
        <f>'Peajes Circular CNMC'!$K$7</f>
        <v>2.5181930000000002E-2</v>
      </c>
      <c r="AJ14" s="110">
        <f t="shared" si="19"/>
        <v>3325.0604351329571</v>
      </c>
      <c r="AK14" s="110">
        <f t="shared" si="20"/>
        <v>251.81930000000003</v>
      </c>
      <c r="AL14" s="109">
        <f t="shared" si="21"/>
        <v>3576.8797351329572</v>
      </c>
      <c r="AM14" s="91">
        <f>VLOOKUP(U14,'Peajes Circular CNMC'!$B$13:$J$23,7,FALSE)</f>
        <v>70.858333333333334</v>
      </c>
      <c r="AN14" s="80">
        <f>VLOOKUP(U14,'Peajes Circular CNMC'!$B$13:$J$23,8,FALSE)</f>
        <v>0</v>
      </c>
      <c r="AO14" s="80">
        <f>VLOOKUP(U14,'Peajes Circular CNMC'!$B$13:$J$23,9,FALSE)</f>
        <v>0.83020000000000005</v>
      </c>
      <c r="AP14" s="110">
        <f t="shared" si="22"/>
        <v>27406.929895245768</v>
      </c>
      <c r="AQ14" s="110">
        <f t="shared" si="23"/>
        <v>0</v>
      </c>
      <c r="AR14" s="110">
        <f t="shared" si="24"/>
        <v>8302</v>
      </c>
      <c r="AS14" s="109">
        <f t="shared" si="25"/>
        <v>35708.929895245768</v>
      </c>
      <c r="AT14" s="111">
        <f t="shared" si="26"/>
        <v>57170.402097179685</v>
      </c>
      <c r="AU14" s="74">
        <f t="shared" si="27"/>
        <v>5.7170402097179682</v>
      </c>
      <c r="AW14" s="70">
        <f t="shared" si="28"/>
        <v>0.23193730581978561</v>
      </c>
      <c r="AX14" s="92">
        <f t="shared" si="29"/>
        <v>0.34343268945504513</v>
      </c>
      <c r="AY14" s="92">
        <f t="shared" si="30"/>
        <v>7.0939857490563306E-3</v>
      </c>
      <c r="AZ14" s="112">
        <f t="shared" si="0"/>
        <v>5219.8557635777543</v>
      </c>
      <c r="BA14" s="92">
        <f t="shared" si="1"/>
        <v>0.10047739883346558</v>
      </c>
      <c r="BB14" s="179">
        <f t="shared" si="31"/>
        <v>0.52198557635777476</v>
      </c>
    </row>
    <row r="15" spans="2:54">
      <c r="B15" s="97">
        <v>12500</v>
      </c>
      <c r="C15" s="99">
        <f>IF($C$5&lt;&gt;"Memoria CNMC",$C$5,IF(B15&gt;'Tipología Clientes'!$C$16,'Tipología Clientes'!$L$16,IF(B15&gt;'Tipología Clientes'!$C$15,'Tipología Clientes'!$L$15,IF(B15&gt;'Tipología Clientes'!$C$14,'Tipología Clientes'!$L$14,IF(B15&gt;'Tipología Clientes'!$C$13,'Tipología Clientes'!$L$13,IF(B15&gt;'Tipología Clientes'!$C$12,'Tipología Clientes'!$L$12,IF(B15&gt;'Tipología Clientes'!$C$11,'Tipología Clientes'!$L$11,IF(B15&gt;'Tipología Clientes'!$C$10,'Tipología Clientes'!$L$10,IF(B15&gt;'Tipología Clientes'!$C$9,'Tipología Clientes'!$L$9,IF(B15&gt;'Tipología Clientes'!$C$8,'Tipología Clientes'!$L$8,IF(B15&gt;'Tipología Clientes'!$C$7,'Tipología Clientes'!$L$7,'Tipología Clientes'!$L$6)))))))))))</f>
        <v>0.85</v>
      </c>
      <c r="D15" s="100">
        <f t="shared" si="2"/>
        <v>40.290088638195009</v>
      </c>
      <c r="E15" s="71" t="str">
        <f>IF(B15&gt;'Peajes Actuales'!$C$15,'Peajes Actuales'!$B$15,IF(B15&gt;'Peajes Actuales'!$C$14,'Peajes Actuales'!$B$14,IF(B15&gt;'Peajes Actuales'!$C$13,'Peajes Actuales'!$B$13,IF(B15&gt;'Peajes Actuales'!$C$12,'Peajes Actuales'!$B$12,'Peajes Actuales'!$B$11))))</f>
        <v>3.5</v>
      </c>
      <c r="F15" s="81">
        <f>'Peajes Actuales'!$H$29</f>
        <v>19.612000000000002</v>
      </c>
      <c r="G15" s="81">
        <f>'Peajes Actuales'!$I$29</f>
        <v>0.11599999999999999</v>
      </c>
      <c r="H15" s="110">
        <f t="shared" si="3"/>
        <v>9482.030620467367</v>
      </c>
      <c r="I15" s="110">
        <f t="shared" si="4"/>
        <v>1450</v>
      </c>
      <c r="J15" s="109">
        <f t="shared" si="5"/>
        <v>10932.030620467367</v>
      </c>
      <c r="K15" s="82">
        <f>'Peajes Actuales'!$I$5</f>
        <v>10.848000000000001</v>
      </c>
      <c r="L15" s="109">
        <f t="shared" si="6"/>
        <v>5244.8025785656737</v>
      </c>
      <c r="M15" s="83">
        <f>VLOOKUP(E15,'Peajes Actuales'!$B$15:$J$15,7,FALSE)</f>
        <v>59.258000000000003</v>
      </c>
      <c r="N15" s="83">
        <f>VLOOKUP(E15,'Peajes Actuales'!$B$15:$J$15,9,FALSE)</f>
        <v>2.0099999999999998</v>
      </c>
      <c r="O15" s="110">
        <f t="shared" si="7"/>
        <v>23636.34971796938</v>
      </c>
      <c r="P15" s="110">
        <f t="shared" si="8"/>
        <v>25124.999999999996</v>
      </c>
      <c r="Q15" s="109">
        <f t="shared" si="9"/>
        <v>48761.34971796938</v>
      </c>
      <c r="R15" s="111">
        <f t="shared" si="10"/>
        <v>64938.182917002421</v>
      </c>
      <c r="S15" s="74">
        <f t="shared" si="11"/>
        <v>5.1950546333601935</v>
      </c>
      <c r="U15" s="71" t="str">
        <f>IF(B15&gt;'Peajes Circular CNMC'!$C$23,'Peajes Circular CNMC'!$B$23,IF(B15&gt;'Peajes Circular CNMC'!$C$22,'Peajes Circular CNMC'!$B$22,IF(B15&gt;'Peajes Circular CNMC'!$C$21,'Peajes Circular CNMC'!$B$21,IF(B15&gt;'Peajes Circular CNMC'!$C$20,'Peajes Circular CNMC'!$B$20,IF(B15&gt;'Peajes Circular CNMC'!$C$19,'Peajes Circular CNMC'!$B$19,IF(B15&gt;'Peajes Circular CNMC'!$C$18,'Peajes Circular CNMC'!$B$18,IF(B15&gt;'Peajes Circular CNMC'!$C$17,'Peajes Circular CNMC'!$B$17,IF(B15&gt;'Peajes Circular CNMC'!$C$16,'Peajes Circular CNMC'!$B$16,IF(B15&gt;'Peajes Circular CNMC'!$C$15,'Peajes Circular CNMC'!$B$15,IF(B15&gt;'Peajes Circular CNMC'!$C$14,'Peajes Circular CNMC'!$B$14,'Peajes Circular CNMC'!$B$13))))))))))</f>
        <v>D.7</v>
      </c>
      <c r="V15" s="89">
        <f>'Peajes Circular CNMC'!$H$30</f>
        <v>25.224</v>
      </c>
      <c r="W15" s="81">
        <f>'Peajes Circular CNMC'!$I$30</f>
        <v>0.10178</v>
      </c>
      <c r="X15" s="110">
        <f t="shared" si="12"/>
        <v>12195.326349717971</v>
      </c>
      <c r="Y15" s="110">
        <f t="shared" si="13"/>
        <v>1272.25</v>
      </c>
      <c r="Z15" s="109">
        <f t="shared" si="14"/>
        <v>13467.576349717971</v>
      </c>
      <c r="AA15" s="81">
        <f>'Peajes Circular CNMC'!$H$35</f>
        <v>0.14737</v>
      </c>
      <c r="AB15" s="109">
        <f t="shared" si="15"/>
        <v>1842.125</v>
      </c>
      <c r="AC15" s="90">
        <f>'Peajes Circular CNMC'!$J$6</f>
        <v>13.922499999999999</v>
      </c>
      <c r="AD15" s="90">
        <f>'Peajes Circular CNMC'!$J$7</f>
        <v>2.5181930000000002E-2</v>
      </c>
      <c r="AE15" s="110">
        <f t="shared" si="16"/>
        <v>6731.2651087832401</v>
      </c>
      <c r="AF15" s="110">
        <f t="shared" si="17"/>
        <v>314.77412500000003</v>
      </c>
      <c r="AG15" s="109">
        <f t="shared" si="18"/>
        <v>7046.03923378324</v>
      </c>
      <c r="AH15" s="90">
        <f>'Peajes Circular CNMC'!$K$6</f>
        <v>8.5966666666666658</v>
      </c>
      <c r="AI15" s="90">
        <f>'Peajes Circular CNMC'!$K$7</f>
        <v>2.5181930000000002E-2</v>
      </c>
      <c r="AJ15" s="110">
        <f t="shared" si="19"/>
        <v>4156.3255439161967</v>
      </c>
      <c r="AK15" s="110">
        <f t="shared" si="20"/>
        <v>314.77412500000003</v>
      </c>
      <c r="AL15" s="109">
        <f t="shared" si="21"/>
        <v>4471.0996689161966</v>
      </c>
      <c r="AM15" s="91">
        <f>VLOOKUP(U15,'Peajes Circular CNMC'!$B$13:$J$23,7,FALSE)</f>
        <v>70.858333333333334</v>
      </c>
      <c r="AN15" s="80">
        <f>VLOOKUP(U15,'Peajes Circular CNMC'!$B$13:$J$23,8,FALSE)</f>
        <v>0</v>
      </c>
      <c r="AO15" s="80">
        <f>VLOOKUP(U15,'Peajes Circular CNMC'!$B$13:$J$23,9,FALSE)</f>
        <v>0.83020000000000005</v>
      </c>
      <c r="AP15" s="110">
        <f t="shared" si="22"/>
        <v>34258.662369057216</v>
      </c>
      <c r="AQ15" s="110">
        <f t="shared" si="23"/>
        <v>0</v>
      </c>
      <c r="AR15" s="110">
        <f t="shared" si="24"/>
        <v>10377.5</v>
      </c>
      <c r="AS15" s="109">
        <f t="shared" si="25"/>
        <v>44636.162369057216</v>
      </c>
      <c r="AT15" s="111">
        <f t="shared" si="26"/>
        <v>71463.002621474618</v>
      </c>
      <c r="AU15" s="74">
        <f t="shared" si="27"/>
        <v>5.7170402097179691</v>
      </c>
      <c r="AW15" s="70">
        <f t="shared" si="28"/>
        <v>0.23193730581978589</v>
      </c>
      <c r="AX15" s="92">
        <f t="shared" si="29"/>
        <v>0.3434326894550454</v>
      </c>
      <c r="AY15" s="92">
        <f t="shared" si="30"/>
        <v>7.0939857490564797E-3</v>
      </c>
      <c r="AZ15" s="112">
        <f t="shared" si="0"/>
        <v>6524.8197044721965</v>
      </c>
      <c r="BA15" s="92">
        <f t="shared" si="1"/>
        <v>0.10047739883346563</v>
      </c>
      <c r="BB15" s="179">
        <f t="shared" si="31"/>
        <v>0.52198557635777565</v>
      </c>
    </row>
    <row r="16" spans="2:54">
      <c r="B16" s="97">
        <v>15000</v>
      </c>
      <c r="C16" s="99">
        <f>IF($C$5&lt;&gt;"Memoria CNMC",$C$5,IF(B16&gt;'Tipología Clientes'!$C$16,'Tipología Clientes'!$L$16,IF(B16&gt;'Tipología Clientes'!$C$15,'Tipología Clientes'!$L$15,IF(B16&gt;'Tipología Clientes'!$C$14,'Tipología Clientes'!$L$14,IF(B16&gt;'Tipología Clientes'!$C$13,'Tipología Clientes'!$L$13,IF(B16&gt;'Tipología Clientes'!$C$12,'Tipología Clientes'!$L$12,IF(B16&gt;'Tipología Clientes'!$C$11,'Tipología Clientes'!$L$11,IF(B16&gt;'Tipología Clientes'!$C$10,'Tipología Clientes'!$L$10,IF(B16&gt;'Tipología Clientes'!$C$9,'Tipología Clientes'!$L$9,IF(B16&gt;'Tipología Clientes'!$C$8,'Tipología Clientes'!$L$8,IF(B16&gt;'Tipología Clientes'!$C$7,'Tipología Clientes'!$L$7,'Tipología Clientes'!$L$6)))))))))))</f>
        <v>0.85</v>
      </c>
      <c r="D16" s="100">
        <f t="shared" si="2"/>
        <v>48.348106365834006</v>
      </c>
      <c r="E16" s="71" t="str">
        <f>IF(B16&gt;'Peajes Actuales'!$C$15,'Peajes Actuales'!$B$15,IF(B16&gt;'Peajes Actuales'!$C$14,'Peajes Actuales'!$B$14,IF(B16&gt;'Peajes Actuales'!$C$13,'Peajes Actuales'!$B$13,IF(B16&gt;'Peajes Actuales'!$C$12,'Peajes Actuales'!$B$12,'Peajes Actuales'!$B$11))))</f>
        <v>3.5</v>
      </c>
      <c r="F16" s="81">
        <f>'Peajes Actuales'!$H$29</f>
        <v>19.612000000000002</v>
      </c>
      <c r="G16" s="81">
        <f>'Peajes Actuales'!$I$29</f>
        <v>0.11599999999999999</v>
      </c>
      <c r="H16" s="110">
        <f t="shared" si="3"/>
        <v>11378.436744560839</v>
      </c>
      <c r="I16" s="110">
        <f t="shared" si="4"/>
        <v>1739.9999999999998</v>
      </c>
      <c r="J16" s="109">
        <f t="shared" si="5"/>
        <v>13118.436744560839</v>
      </c>
      <c r="K16" s="82">
        <f>'Peajes Actuales'!$I$5</f>
        <v>10.848000000000001</v>
      </c>
      <c r="L16" s="109">
        <f t="shared" si="6"/>
        <v>6293.7630942788082</v>
      </c>
      <c r="M16" s="83">
        <f>VLOOKUP(E16,'Peajes Actuales'!$B$15:$J$15,7,FALSE)</f>
        <v>59.258000000000003</v>
      </c>
      <c r="N16" s="83">
        <f>VLOOKUP(E16,'Peajes Actuales'!$B$15:$J$15,9,FALSE)</f>
        <v>2.0099999999999998</v>
      </c>
      <c r="O16" s="110">
        <f t="shared" si="7"/>
        <v>28363.619661563258</v>
      </c>
      <c r="P16" s="110">
        <f t="shared" si="8"/>
        <v>30149.999999999996</v>
      </c>
      <c r="Q16" s="109">
        <f t="shared" si="9"/>
        <v>58513.619661563251</v>
      </c>
      <c r="R16" s="111">
        <f t="shared" si="10"/>
        <v>77925.819500402897</v>
      </c>
      <c r="S16" s="74">
        <f t="shared" si="11"/>
        <v>5.1950546333601935</v>
      </c>
      <c r="U16" s="71" t="str">
        <f>IF(B16&gt;'Peajes Circular CNMC'!$C$23,'Peajes Circular CNMC'!$B$23,IF(B16&gt;'Peajes Circular CNMC'!$C$22,'Peajes Circular CNMC'!$B$22,IF(B16&gt;'Peajes Circular CNMC'!$C$21,'Peajes Circular CNMC'!$B$21,IF(B16&gt;'Peajes Circular CNMC'!$C$20,'Peajes Circular CNMC'!$B$20,IF(B16&gt;'Peajes Circular CNMC'!$C$19,'Peajes Circular CNMC'!$B$19,IF(B16&gt;'Peajes Circular CNMC'!$C$18,'Peajes Circular CNMC'!$B$18,IF(B16&gt;'Peajes Circular CNMC'!$C$17,'Peajes Circular CNMC'!$B$17,IF(B16&gt;'Peajes Circular CNMC'!$C$16,'Peajes Circular CNMC'!$B$16,IF(B16&gt;'Peajes Circular CNMC'!$C$15,'Peajes Circular CNMC'!$B$15,IF(B16&gt;'Peajes Circular CNMC'!$C$14,'Peajes Circular CNMC'!$B$14,'Peajes Circular CNMC'!$B$13))))))))))</f>
        <v>D.7</v>
      </c>
      <c r="V16" s="89">
        <f>'Peajes Circular CNMC'!$H$30</f>
        <v>25.224</v>
      </c>
      <c r="W16" s="81">
        <f>'Peajes Circular CNMC'!$I$30</f>
        <v>0.10178</v>
      </c>
      <c r="X16" s="110">
        <f t="shared" si="12"/>
        <v>14634.391619661563</v>
      </c>
      <c r="Y16" s="110">
        <f t="shared" si="13"/>
        <v>1526.7</v>
      </c>
      <c r="Z16" s="109">
        <f t="shared" si="14"/>
        <v>16161.091619661564</v>
      </c>
      <c r="AA16" s="81">
        <f>'Peajes Circular CNMC'!$H$35</f>
        <v>0.14737</v>
      </c>
      <c r="AB16" s="109">
        <f t="shared" si="15"/>
        <v>2210.5500000000002</v>
      </c>
      <c r="AC16" s="90">
        <f>'Peajes Circular CNMC'!$J$6</f>
        <v>13.922499999999999</v>
      </c>
      <c r="AD16" s="90">
        <f>'Peajes Circular CNMC'!$J$7</f>
        <v>2.5181930000000002E-2</v>
      </c>
      <c r="AE16" s="110">
        <f t="shared" si="16"/>
        <v>8077.5181305398874</v>
      </c>
      <c r="AF16" s="110">
        <f t="shared" si="17"/>
        <v>377.72895</v>
      </c>
      <c r="AG16" s="109">
        <f t="shared" si="18"/>
        <v>8455.247080539888</v>
      </c>
      <c r="AH16" s="90">
        <f>'Peajes Circular CNMC'!$K$6</f>
        <v>8.5966666666666658</v>
      </c>
      <c r="AI16" s="90">
        <f>'Peajes Circular CNMC'!$K$7</f>
        <v>2.5181930000000002E-2</v>
      </c>
      <c r="AJ16" s="110">
        <f t="shared" si="19"/>
        <v>4987.5906526994359</v>
      </c>
      <c r="AK16" s="110">
        <f t="shared" si="20"/>
        <v>377.72895</v>
      </c>
      <c r="AL16" s="109">
        <f t="shared" si="21"/>
        <v>5365.3196026994356</v>
      </c>
      <c r="AM16" s="91">
        <f>VLOOKUP(U16,'Peajes Circular CNMC'!$B$13:$J$23,7,FALSE)</f>
        <v>70.858333333333334</v>
      </c>
      <c r="AN16" s="80">
        <f>VLOOKUP(U16,'Peajes Circular CNMC'!$B$13:$J$23,8,FALSE)</f>
        <v>0</v>
      </c>
      <c r="AO16" s="80">
        <f>VLOOKUP(U16,'Peajes Circular CNMC'!$B$13:$J$23,9,FALSE)</f>
        <v>0.83020000000000005</v>
      </c>
      <c r="AP16" s="110">
        <f t="shared" si="22"/>
        <v>41110.394842868656</v>
      </c>
      <c r="AQ16" s="110">
        <f t="shared" si="23"/>
        <v>0</v>
      </c>
      <c r="AR16" s="110">
        <f t="shared" si="24"/>
        <v>12453</v>
      </c>
      <c r="AS16" s="109">
        <f t="shared" si="25"/>
        <v>53563.394842868656</v>
      </c>
      <c r="AT16" s="111">
        <f t="shared" si="26"/>
        <v>85755.603145769535</v>
      </c>
      <c r="AU16" s="74">
        <f t="shared" si="27"/>
        <v>5.7170402097179691</v>
      </c>
      <c r="AW16" s="70">
        <f t="shared" si="28"/>
        <v>0.23193730581978597</v>
      </c>
      <c r="AX16" s="92">
        <f t="shared" si="29"/>
        <v>0.3434326894550454</v>
      </c>
      <c r="AY16" s="92">
        <f t="shared" si="30"/>
        <v>7.0939857490564555E-3</v>
      </c>
      <c r="AZ16" s="112">
        <f t="shared" si="0"/>
        <v>7829.7836453666387</v>
      </c>
      <c r="BA16" s="92">
        <f t="shared" si="1"/>
        <v>0.10047739883346567</v>
      </c>
      <c r="BB16" s="179">
        <f t="shared" si="31"/>
        <v>0.52198557635777565</v>
      </c>
    </row>
    <row r="17" spans="2:54">
      <c r="B17" s="97">
        <v>15614</v>
      </c>
      <c r="C17" s="99">
        <f>IF($C$5&lt;&gt;"Memoria CNMC",$C$5,IF(B17&gt;'Tipología Clientes'!$C$16,'Tipología Clientes'!$L$16,IF(B17&gt;'Tipología Clientes'!$C$15,'Tipología Clientes'!$L$15,IF(B17&gt;'Tipología Clientes'!$C$14,'Tipología Clientes'!$L$14,IF(B17&gt;'Tipología Clientes'!$C$13,'Tipología Clientes'!$L$13,IF(B17&gt;'Tipología Clientes'!$C$12,'Tipología Clientes'!$L$12,IF(B17&gt;'Tipología Clientes'!$C$11,'Tipología Clientes'!$L$11,IF(B17&gt;'Tipología Clientes'!$C$10,'Tipología Clientes'!$L$10,IF(B17&gt;'Tipología Clientes'!$C$9,'Tipología Clientes'!$L$9,IF(B17&gt;'Tipología Clientes'!$C$8,'Tipología Clientes'!$L$8,IF(B17&gt;'Tipología Clientes'!$C$7,'Tipología Clientes'!$L$7,'Tipología Clientes'!$L$6)))))))))))</f>
        <v>0.85</v>
      </c>
      <c r="D17" s="100">
        <f t="shared" ref="D17" si="32">B17/365/C17</f>
        <v>50.327155519742149</v>
      </c>
      <c r="E17" s="71" t="str">
        <f>IF(B17&gt;'Peajes Actuales'!$C$15,'Peajes Actuales'!$B$15,IF(B17&gt;'Peajes Actuales'!$C$14,'Peajes Actuales'!$B$14,IF(B17&gt;'Peajes Actuales'!$C$13,'Peajes Actuales'!$B$13,IF(B17&gt;'Peajes Actuales'!$C$12,'Peajes Actuales'!$B$12,'Peajes Actuales'!$B$11))))</f>
        <v>3.5</v>
      </c>
      <c r="F17" s="81">
        <f>'Peajes Actuales'!$H$29</f>
        <v>19.612000000000002</v>
      </c>
      <c r="G17" s="81">
        <f>'Peajes Actuales'!$I$29</f>
        <v>0.11599999999999999</v>
      </c>
      <c r="H17" s="110">
        <f t="shared" ref="H17" si="33">D17*F17*12</f>
        <v>11844.194088638198</v>
      </c>
      <c r="I17" s="110">
        <f t="shared" ref="I17" si="34">B17*G17</f>
        <v>1811.2239999999999</v>
      </c>
      <c r="J17" s="109">
        <f t="shared" ref="J17" si="35">H17+I17</f>
        <v>13655.418088638198</v>
      </c>
      <c r="K17" s="82">
        <f>'Peajes Actuales'!$I$5</f>
        <v>10.848000000000001</v>
      </c>
      <c r="L17" s="109">
        <f t="shared" ref="L17" si="36">12*K17*D17</f>
        <v>6551.3877969379546</v>
      </c>
      <c r="M17" s="83">
        <f>VLOOKUP(E17,'Peajes Actuales'!$B$15:$J$15,7,FALSE)</f>
        <v>59.258000000000003</v>
      </c>
      <c r="N17" s="83">
        <f>VLOOKUP(E17,'Peajes Actuales'!$B$15:$J$15,9,FALSE)</f>
        <v>2.0099999999999998</v>
      </c>
      <c r="O17" s="110">
        <f t="shared" ref="O17" si="37">IF($D$6&lt;=0.3,M17*D17*12,(D17-$D$6*0.5*D17)*M17*12)</f>
        <v>29524.637159709921</v>
      </c>
      <c r="P17" s="110">
        <f t="shared" ref="P17" si="38">B17*N17</f>
        <v>31384.139999999996</v>
      </c>
      <c r="Q17" s="109">
        <f t="shared" ref="Q17" si="39">SUM(O17:P17)</f>
        <v>60908.77715970992</v>
      </c>
      <c r="R17" s="111">
        <f t="shared" ref="R17" si="40">J17+L17+Q17</f>
        <v>81115.583045286068</v>
      </c>
      <c r="S17" s="74">
        <f t="shared" ref="S17" si="41">R17/B17</f>
        <v>5.1950546333601944</v>
      </c>
      <c r="U17" s="71" t="str">
        <f>IF(B17&gt;'Peajes Circular CNMC'!$C$23,'Peajes Circular CNMC'!$B$23,IF(B17&gt;'Peajes Circular CNMC'!$C$22,'Peajes Circular CNMC'!$B$22,IF(B17&gt;'Peajes Circular CNMC'!$C$21,'Peajes Circular CNMC'!$B$21,IF(B17&gt;'Peajes Circular CNMC'!$C$20,'Peajes Circular CNMC'!$B$20,IF(B17&gt;'Peajes Circular CNMC'!$C$19,'Peajes Circular CNMC'!$B$19,IF(B17&gt;'Peajes Circular CNMC'!$C$18,'Peajes Circular CNMC'!$B$18,IF(B17&gt;'Peajes Circular CNMC'!$C$17,'Peajes Circular CNMC'!$B$17,IF(B17&gt;'Peajes Circular CNMC'!$C$16,'Peajes Circular CNMC'!$B$16,IF(B17&gt;'Peajes Circular CNMC'!$C$15,'Peajes Circular CNMC'!$B$15,IF(B17&gt;'Peajes Circular CNMC'!$C$14,'Peajes Circular CNMC'!$B$14,'Peajes Circular CNMC'!$B$13))))))))))</f>
        <v>D.8</v>
      </c>
      <c r="V17" s="89">
        <f>'Peajes Circular CNMC'!$H$30</f>
        <v>25.224</v>
      </c>
      <c r="W17" s="81">
        <f>'Peajes Circular CNMC'!$I$30</f>
        <v>0.10178</v>
      </c>
      <c r="X17" s="110">
        <f t="shared" ref="X17" si="42">12*V17*D17</f>
        <v>15233.426049959711</v>
      </c>
      <c r="Y17" s="110">
        <f t="shared" ref="Y17" si="43">W17*B17</f>
        <v>1589.19292</v>
      </c>
      <c r="Z17" s="109">
        <f t="shared" ref="Z17" si="44">X17+Y17</f>
        <v>16822.618969959713</v>
      </c>
      <c r="AA17" s="81">
        <f>'Peajes Circular CNMC'!$H$35</f>
        <v>0.14737</v>
      </c>
      <c r="AB17" s="109">
        <f t="shared" ref="AB17" si="45">B17*AA17</f>
        <v>2301.0351799999999</v>
      </c>
      <c r="AC17" s="90">
        <f>'Peajes Circular CNMC'!$J$6</f>
        <v>13.922499999999999</v>
      </c>
      <c r="AD17" s="90">
        <f>'Peajes Circular CNMC'!$J$7</f>
        <v>2.5181930000000002E-2</v>
      </c>
      <c r="AE17" s="110">
        <f t="shared" ref="AE17" si="46">AC17*12*D17</f>
        <v>8408.1578726833213</v>
      </c>
      <c r="AF17" s="110">
        <f t="shared" ref="AF17" si="47">AD17*B17</f>
        <v>393.19065502000001</v>
      </c>
      <c r="AG17" s="109">
        <f t="shared" ref="AG17" si="48">AE17+AF17</f>
        <v>8801.3485277033215</v>
      </c>
      <c r="AH17" s="90">
        <f>'Peajes Circular CNMC'!$K$6</f>
        <v>8.5966666666666658</v>
      </c>
      <c r="AI17" s="90">
        <f>'Peajes Circular CNMC'!$K$7</f>
        <v>2.5181930000000002E-2</v>
      </c>
      <c r="AJ17" s="110">
        <f t="shared" ref="AJ17" si="49">AH17*12*D17</f>
        <v>5191.7493634166003</v>
      </c>
      <c r="AK17" s="110">
        <f t="shared" ref="AK17" si="50">AI17*B17</f>
        <v>393.19065502000001</v>
      </c>
      <c r="AL17" s="109">
        <f t="shared" ref="AL17" si="51">AJ17+AK17</f>
        <v>5584.9400184366004</v>
      </c>
      <c r="AM17" s="91">
        <f>VLOOKUP(U17,'Peajes Circular CNMC'!$B$13:$J$23,7,FALSE)</f>
        <v>34.093333333333334</v>
      </c>
      <c r="AN17" s="80">
        <f>VLOOKUP(U17,'Peajes Circular CNMC'!$B$13:$J$23,8,FALSE)</f>
        <v>0</v>
      </c>
      <c r="AO17" s="80">
        <f>VLOOKUP(U17,'Peajes Circular CNMC'!$B$13:$J$23,9,FALSE)</f>
        <v>0.52300000000000002</v>
      </c>
      <c r="AP17" s="110">
        <f t="shared" ref="AP17" si="52">12*AM17*D17</f>
        <v>20589.845866236908</v>
      </c>
      <c r="AQ17" s="110">
        <f t="shared" ref="AQ17" si="53">12*AN17</f>
        <v>0</v>
      </c>
      <c r="AR17" s="110">
        <f t="shared" ref="AR17" si="54">AO17*B17</f>
        <v>8166.1220000000003</v>
      </c>
      <c r="AS17" s="109">
        <f t="shared" ref="AS17" si="55">AP17+AQ17+AR17</f>
        <v>28755.967866236908</v>
      </c>
      <c r="AT17" s="111">
        <f t="shared" ref="AT17" si="56">Z17+AB17+AG17+AL17+AS17</f>
        <v>62265.910562336547</v>
      </c>
      <c r="AU17" s="74">
        <f t="shared" ref="AU17" si="57">AT17/B17</f>
        <v>3.9878257052860602</v>
      </c>
      <c r="AW17" s="70">
        <f t="shared" ref="AW17" si="58">(Z17-J17)/J17</f>
        <v>0.23193730581978592</v>
      </c>
      <c r="AX17" s="92">
        <f t="shared" ref="AX17" si="59">(AG17-L17)/L17</f>
        <v>0.34343268945504546</v>
      </c>
      <c r="AY17" s="92">
        <f t="shared" ref="AY17" si="60">(AL17+AS17-Q17)/Q17</f>
        <v>-0.43619114541361353</v>
      </c>
      <c r="AZ17" s="112">
        <f t="shared" ref="AZ17" si="61">AT17-R17</f>
        <v>-18849.672482949522</v>
      </c>
      <c r="BA17" s="92">
        <f t="shared" ref="BA17" si="62">AZ17/R17</f>
        <v>-0.23238041046226501</v>
      </c>
      <c r="BB17" s="179">
        <f t="shared" ref="BB17" si="63">AU17-S17</f>
        <v>-1.2072289280741342</v>
      </c>
    </row>
    <row r="18" spans="2:54">
      <c r="B18" s="97">
        <v>17500</v>
      </c>
      <c r="C18" s="99">
        <f>IF($C$5&lt;&gt;"Memoria CNMC",$C$5,IF(B18&gt;'Tipología Clientes'!$C$16,'Tipología Clientes'!$L$16,IF(B18&gt;'Tipología Clientes'!$C$15,'Tipología Clientes'!$L$15,IF(B18&gt;'Tipología Clientes'!$C$14,'Tipología Clientes'!$L$14,IF(B18&gt;'Tipología Clientes'!$C$13,'Tipología Clientes'!$L$13,IF(B18&gt;'Tipología Clientes'!$C$12,'Tipología Clientes'!$L$12,IF(B18&gt;'Tipología Clientes'!$C$11,'Tipología Clientes'!$L$11,IF(B18&gt;'Tipología Clientes'!$C$10,'Tipología Clientes'!$L$10,IF(B18&gt;'Tipología Clientes'!$C$9,'Tipología Clientes'!$L$9,IF(B18&gt;'Tipología Clientes'!$C$8,'Tipología Clientes'!$L$8,IF(B18&gt;'Tipología Clientes'!$C$7,'Tipología Clientes'!$L$7,'Tipología Clientes'!$L$6)))))))))))</f>
        <v>0.85</v>
      </c>
      <c r="D18" s="100">
        <f t="shared" si="2"/>
        <v>56.406124093473011</v>
      </c>
      <c r="E18" s="71" t="str">
        <f>IF(B18&gt;'Peajes Actuales'!$C$15,'Peajes Actuales'!$B$15,IF(B18&gt;'Peajes Actuales'!$C$14,'Peajes Actuales'!$B$14,IF(B18&gt;'Peajes Actuales'!$C$13,'Peajes Actuales'!$B$13,IF(B18&gt;'Peajes Actuales'!$C$12,'Peajes Actuales'!$B$12,'Peajes Actuales'!$B$11))))</f>
        <v>3.5</v>
      </c>
      <c r="F18" s="81">
        <f>'Peajes Actuales'!$H$29</f>
        <v>19.612000000000002</v>
      </c>
      <c r="G18" s="81">
        <f>'Peajes Actuales'!$I$29</f>
        <v>0.11599999999999999</v>
      </c>
      <c r="H18" s="110">
        <f t="shared" si="3"/>
        <v>13274.842868654316</v>
      </c>
      <c r="I18" s="110">
        <f t="shared" si="4"/>
        <v>2029.9999999999998</v>
      </c>
      <c r="J18" s="109">
        <f t="shared" si="5"/>
        <v>15304.842868654316</v>
      </c>
      <c r="K18" s="82">
        <f>'Peajes Actuales'!$I$5</f>
        <v>10.848000000000001</v>
      </c>
      <c r="L18" s="109">
        <f t="shared" si="6"/>
        <v>7342.7236099919437</v>
      </c>
      <c r="M18" s="83">
        <f>VLOOKUP(E18,'Peajes Actuales'!$B$15:$J$15,7,FALSE)</f>
        <v>59.258000000000003</v>
      </c>
      <c r="N18" s="83">
        <f>VLOOKUP(E18,'Peajes Actuales'!$B$15:$J$15,9,FALSE)</f>
        <v>2.0099999999999998</v>
      </c>
      <c r="O18" s="110">
        <f t="shared" si="7"/>
        <v>33090.889605157136</v>
      </c>
      <c r="P18" s="110">
        <f t="shared" si="8"/>
        <v>35174.999999999993</v>
      </c>
      <c r="Q18" s="109">
        <f t="shared" si="9"/>
        <v>68265.889605157136</v>
      </c>
      <c r="R18" s="111">
        <f t="shared" si="10"/>
        <v>90913.456083803394</v>
      </c>
      <c r="S18" s="74">
        <f t="shared" si="11"/>
        <v>5.1950546333601944</v>
      </c>
      <c r="U18" s="71" t="str">
        <f>IF(B18&gt;'Peajes Circular CNMC'!$C$23,'Peajes Circular CNMC'!$B$23,IF(B18&gt;'Peajes Circular CNMC'!$C$22,'Peajes Circular CNMC'!$B$22,IF(B18&gt;'Peajes Circular CNMC'!$C$21,'Peajes Circular CNMC'!$B$21,IF(B18&gt;'Peajes Circular CNMC'!$C$20,'Peajes Circular CNMC'!$B$20,IF(B18&gt;'Peajes Circular CNMC'!$C$19,'Peajes Circular CNMC'!$B$19,IF(B18&gt;'Peajes Circular CNMC'!$C$18,'Peajes Circular CNMC'!$B$18,IF(B18&gt;'Peajes Circular CNMC'!$C$17,'Peajes Circular CNMC'!$B$17,IF(B18&gt;'Peajes Circular CNMC'!$C$16,'Peajes Circular CNMC'!$B$16,IF(B18&gt;'Peajes Circular CNMC'!$C$15,'Peajes Circular CNMC'!$B$15,IF(B18&gt;'Peajes Circular CNMC'!$C$14,'Peajes Circular CNMC'!$B$14,'Peajes Circular CNMC'!$B$13))))))))))</f>
        <v>D.8</v>
      </c>
      <c r="V18" s="89">
        <f>'Peajes Circular CNMC'!$H$30</f>
        <v>25.224</v>
      </c>
      <c r="W18" s="81">
        <f>'Peajes Circular CNMC'!$I$30</f>
        <v>0.10178</v>
      </c>
      <c r="X18" s="110">
        <f t="shared" si="12"/>
        <v>17073.456889605157</v>
      </c>
      <c r="Y18" s="110">
        <f t="shared" si="13"/>
        <v>1781.1499999999999</v>
      </c>
      <c r="Z18" s="109">
        <f t="shared" si="14"/>
        <v>18854.606889605158</v>
      </c>
      <c r="AA18" s="81">
        <f>'Peajes Circular CNMC'!$H$35</f>
        <v>0.14737</v>
      </c>
      <c r="AB18" s="109">
        <f t="shared" si="15"/>
        <v>2578.9749999999999</v>
      </c>
      <c r="AC18" s="90">
        <f>'Peajes Circular CNMC'!$J$6</f>
        <v>13.922499999999999</v>
      </c>
      <c r="AD18" s="90">
        <f>'Peajes Circular CNMC'!$J$7</f>
        <v>2.5181930000000002E-2</v>
      </c>
      <c r="AE18" s="110">
        <f t="shared" si="16"/>
        <v>9423.7711522965346</v>
      </c>
      <c r="AF18" s="110">
        <f t="shared" si="17"/>
        <v>440.68377500000003</v>
      </c>
      <c r="AG18" s="109">
        <f t="shared" si="18"/>
        <v>9864.4549272965342</v>
      </c>
      <c r="AH18" s="90">
        <f>'Peajes Circular CNMC'!$K$6</f>
        <v>8.5966666666666658</v>
      </c>
      <c r="AI18" s="90">
        <f>'Peajes Circular CNMC'!$K$7</f>
        <v>2.5181930000000002E-2</v>
      </c>
      <c r="AJ18" s="110">
        <f t="shared" si="19"/>
        <v>5818.8557614826759</v>
      </c>
      <c r="AK18" s="110">
        <f t="shared" si="20"/>
        <v>440.68377500000003</v>
      </c>
      <c r="AL18" s="109">
        <f t="shared" si="21"/>
        <v>6259.5395364826763</v>
      </c>
      <c r="AM18" s="91">
        <f>VLOOKUP(U18,'Peajes Circular CNMC'!$B$13:$J$23,7,FALSE)</f>
        <v>34.093333333333334</v>
      </c>
      <c r="AN18" s="80">
        <f>VLOOKUP(U18,'Peajes Circular CNMC'!$B$13:$J$23,8,FALSE)</f>
        <v>0</v>
      </c>
      <c r="AO18" s="80">
        <f>VLOOKUP(U18,'Peajes Circular CNMC'!$B$13:$J$23,9,FALSE)</f>
        <v>0.52300000000000002</v>
      </c>
      <c r="AP18" s="110">
        <f t="shared" si="22"/>
        <v>23076.873489121677</v>
      </c>
      <c r="AQ18" s="110">
        <f t="shared" si="23"/>
        <v>0</v>
      </c>
      <c r="AR18" s="110">
        <f t="shared" si="24"/>
        <v>9152.5</v>
      </c>
      <c r="AS18" s="109">
        <f t="shared" si="25"/>
        <v>32229.373489121677</v>
      </c>
      <c r="AT18" s="111">
        <f t="shared" si="26"/>
        <v>69786.949842506045</v>
      </c>
      <c r="AU18" s="74">
        <f t="shared" si="27"/>
        <v>3.9878257052860597</v>
      </c>
      <c r="AW18" s="70">
        <f t="shared" si="28"/>
        <v>0.23193730581978572</v>
      </c>
      <c r="AX18" s="92">
        <f t="shared" si="29"/>
        <v>0.34343268945504501</v>
      </c>
      <c r="AY18" s="92">
        <f t="shared" si="30"/>
        <v>-0.43619114541361342</v>
      </c>
      <c r="AZ18" s="112">
        <f t="shared" si="0"/>
        <v>-21126.506241297349</v>
      </c>
      <c r="BA18" s="92">
        <f t="shared" si="1"/>
        <v>-0.23238041046226515</v>
      </c>
      <c r="BB18" s="179">
        <f t="shared" si="31"/>
        <v>-1.2072289280741346</v>
      </c>
    </row>
    <row r="19" spans="2:54">
      <c r="B19" s="97">
        <v>20000</v>
      </c>
      <c r="C19" s="99">
        <f>IF($C$5&lt;&gt;"Memoria CNMC",$C$5,IF(B19&gt;'Tipología Clientes'!$C$16,'Tipología Clientes'!$L$16,IF(B19&gt;'Tipología Clientes'!$C$15,'Tipología Clientes'!$L$15,IF(B19&gt;'Tipología Clientes'!$C$14,'Tipología Clientes'!$L$14,IF(B19&gt;'Tipología Clientes'!$C$13,'Tipología Clientes'!$L$13,IF(B19&gt;'Tipología Clientes'!$C$12,'Tipología Clientes'!$L$12,IF(B19&gt;'Tipología Clientes'!$C$11,'Tipología Clientes'!$L$11,IF(B19&gt;'Tipología Clientes'!$C$10,'Tipología Clientes'!$L$10,IF(B19&gt;'Tipología Clientes'!$C$9,'Tipología Clientes'!$L$9,IF(B19&gt;'Tipología Clientes'!$C$8,'Tipología Clientes'!$L$8,IF(B19&gt;'Tipología Clientes'!$C$7,'Tipología Clientes'!$L$7,'Tipología Clientes'!$L$6)))))))))))</f>
        <v>0.85</v>
      </c>
      <c r="D19" s="100">
        <f t="shared" si="2"/>
        <v>64.464141821112008</v>
      </c>
      <c r="E19" s="71" t="str">
        <f>IF(B19&gt;'Peajes Actuales'!$C$15,'Peajes Actuales'!$B$15,IF(B19&gt;'Peajes Actuales'!$C$14,'Peajes Actuales'!$B$14,IF(B19&gt;'Peajes Actuales'!$C$13,'Peajes Actuales'!$B$13,IF(B19&gt;'Peajes Actuales'!$C$12,'Peajes Actuales'!$B$12,'Peajes Actuales'!$B$11))))</f>
        <v>3.5</v>
      </c>
      <c r="F19" s="81">
        <f>'Peajes Actuales'!$H$29</f>
        <v>19.612000000000002</v>
      </c>
      <c r="G19" s="81">
        <f>'Peajes Actuales'!$I$29</f>
        <v>0.11599999999999999</v>
      </c>
      <c r="H19" s="110">
        <f t="shared" si="3"/>
        <v>15171.248992747787</v>
      </c>
      <c r="I19" s="110">
        <f t="shared" si="4"/>
        <v>2320</v>
      </c>
      <c r="J19" s="109">
        <f t="shared" si="5"/>
        <v>17491.248992747787</v>
      </c>
      <c r="K19" s="82">
        <f>'Peajes Actuales'!$I$5</f>
        <v>10.848000000000001</v>
      </c>
      <c r="L19" s="109">
        <f t="shared" si="6"/>
        <v>8391.6841257050783</v>
      </c>
      <c r="M19" s="83">
        <f>VLOOKUP(E19,'Peajes Actuales'!$B$15:$J$15,7,FALSE)</f>
        <v>59.258000000000003</v>
      </c>
      <c r="N19" s="83">
        <f>VLOOKUP(E19,'Peajes Actuales'!$B$15:$J$15,9,FALSE)</f>
        <v>2.0099999999999998</v>
      </c>
      <c r="O19" s="110">
        <f t="shared" si="7"/>
        <v>37818.159548751013</v>
      </c>
      <c r="P19" s="110">
        <f t="shared" si="8"/>
        <v>40199.999999999993</v>
      </c>
      <c r="Q19" s="109">
        <f t="shared" si="9"/>
        <v>78018.159548751006</v>
      </c>
      <c r="R19" s="111">
        <f t="shared" si="10"/>
        <v>103901.09266720386</v>
      </c>
      <c r="S19" s="74">
        <f t="shared" si="11"/>
        <v>5.1950546333601935</v>
      </c>
      <c r="U19" s="71" t="str">
        <f>IF(B19&gt;'Peajes Circular CNMC'!$C$23,'Peajes Circular CNMC'!$B$23,IF(B19&gt;'Peajes Circular CNMC'!$C$22,'Peajes Circular CNMC'!$B$22,IF(B19&gt;'Peajes Circular CNMC'!$C$21,'Peajes Circular CNMC'!$B$21,IF(B19&gt;'Peajes Circular CNMC'!$C$20,'Peajes Circular CNMC'!$B$20,IF(B19&gt;'Peajes Circular CNMC'!$C$19,'Peajes Circular CNMC'!$B$19,IF(B19&gt;'Peajes Circular CNMC'!$C$18,'Peajes Circular CNMC'!$B$18,IF(B19&gt;'Peajes Circular CNMC'!$C$17,'Peajes Circular CNMC'!$B$17,IF(B19&gt;'Peajes Circular CNMC'!$C$16,'Peajes Circular CNMC'!$B$16,IF(B19&gt;'Peajes Circular CNMC'!$C$15,'Peajes Circular CNMC'!$B$15,IF(B19&gt;'Peajes Circular CNMC'!$C$14,'Peajes Circular CNMC'!$B$14,'Peajes Circular CNMC'!$B$13))))))))))</f>
        <v>D.8</v>
      </c>
      <c r="V19" s="89">
        <f>'Peajes Circular CNMC'!$H$30</f>
        <v>25.224</v>
      </c>
      <c r="W19" s="81">
        <f>'Peajes Circular CNMC'!$I$30</f>
        <v>0.10178</v>
      </c>
      <c r="X19" s="110">
        <f t="shared" si="12"/>
        <v>19512.522159548749</v>
      </c>
      <c r="Y19" s="110">
        <f t="shared" si="13"/>
        <v>2035.6</v>
      </c>
      <c r="Z19" s="109">
        <f t="shared" si="14"/>
        <v>21548.122159548748</v>
      </c>
      <c r="AA19" s="81">
        <f>'Peajes Circular CNMC'!$H$35</f>
        <v>0.14737</v>
      </c>
      <c r="AB19" s="109">
        <f t="shared" si="15"/>
        <v>2947.4</v>
      </c>
      <c r="AC19" s="90">
        <f>'Peajes Circular CNMC'!$J$6</f>
        <v>13.922499999999999</v>
      </c>
      <c r="AD19" s="90">
        <f>'Peajes Circular CNMC'!$J$7</f>
        <v>2.5181930000000002E-2</v>
      </c>
      <c r="AE19" s="110">
        <f t="shared" si="16"/>
        <v>10770.024174053182</v>
      </c>
      <c r="AF19" s="110">
        <f t="shared" si="17"/>
        <v>503.63860000000005</v>
      </c>
      <c r="AG19" s="109">
        <f t="shared" si="18"/>
        <v>11273.662774053182</v>
      </c>
      <c r="AH19" s="90">
        <f>'Peajes Circular CNMC'!$K$6</f>
        <v>8.5966666666666658</v>
      </c>
      <c r="AI19" s="90">
        <f>'Peajes Circular CNMC'!$K$7</f>
        <v>2.5181930000000002E-2</v>
      </c>
      <c r="AJ19" s="110">
        <f t="shared" si="19"/>
        <v>6650.1208702659142</v>
      </c>
      <c r="AK19" s="110">
        <f t="shared" si="20"/>
        <v>503.63860000000005</v>
      </c>
      <c r="AL19" s="109">
        <f t="shared" si="21"/>
        <v>7153.7594702659144</v>
      </c>
      <c r="AM19" s="91">
        <f>VLOOKUP(U19,'Peajes Circular CNMC'!$B$13:$J$23,7,FALSE)</f>
        <v>34.093333333333334</v>
      </c>
      <c r="AN19" s="80">
        <f>VLOOKUP(U19,'Peajes Circular CNMC'!$B$13:$J$23,8,FALSE)</f>
        <v>0</v>
      </c>
      <c r="AO19" s="80">
        <f>VLOOKUP(U19,'Peajes Circular CNMC'!$B$13:$J$23,9,FALSE)</f>
        <v>0.52300000000000002</v>
      </c>
      <c r="AP19" s="110">
        <f t="shared" si="22"/>
        <v>26373.569701853346</v>
      </c>
      <c r="AQ19" s="110">
        <f t="shared" si="23"/>
        <v>0</v>
      </c>
      <c r="AR19" s="110">
        <f t="shared" si="24"/>
        <v>10460</v>
      </c>
      <c r="AS19" s="109">
        <f t="shared" si="25"/>
        <v>36833.569701853346</v>
      </c>
      <c r="AT19" s="111">
        <f>Z19+AB19+AG19+AL19+AS19</f>
        <v>79756.514105721188</v>
      </c>
      <c r="AU19" s="74">
        <f t="shared" si="27"/>
        <v>3.9878257052860593</v>
      </c>
      <c r="AW19" s="70">
        <f t="shared" si="28"/>
        <v>0.23193730581978561</v>
      </c>
      <c r="AX19" s="92">
        <f t="shared" si="29"/>
        <v>0.34343268945504513</v>
      </c>
      <c r="AY19" s="92">
        <f t="shared" si="30"/>
        <v>-0.43619114541361348</v>
      </c>
      <c r="AZ19" s="112">
        <f t="shared" si="0"/>
        <v>-24144.578561482675</v>
      </c>
      <c r="BA19" s="92">
        <f t="shared" si="1"/>
        <v>-0.2323804104622651</v>
      </c>
      <c r="BB19" s="179">
        <f t="shared" si="31"/>
        <v>-1.2072289280741342</v>
      </c>
    </row>
    <row r="20" spans="2:54">
      <c r="B20" s="97">
        <v>22500</v>
      </c>
      <c r="C20" s="99">
        <f>IF($C$5&lt;&gt;"Memoria CNMC",$C$5,IF(B20&gt;'Tipología Clientes'!$C$16,'Tipología Clientes'!$L$16,IF(B20&gt;'Tipología Clientes'!$C$15,'Tipología Clientes'!$L$15,IF(B20&gt;'Tipología Clientes'!$C$14,'Tipología Clientes'!$L$14,IF(B20&gt;'Tipología Clientes'!$C$13,'Tipología Clientes'!$L$13,IF(B20&gt;'Tipología Clientes'!$C$12,'Tipología Clientes'!$L$12,IF(B20&gt;'Tipología Clientes'!$C$11,'Tipología Clientes'!$L$11,IF(B20&gt;'Tipología Clientes'!$C$10,'Tipología Clientes'!$L$10,IF(B20&gt;'Tipología Clientes'!$C$9,'Tipología Clientes'!$L$9,IF(B20&gt;'Tipología Clientes'!$C$8,'Tipología Clientes'!$L$8,IF(B20&gt;'Tipología Clientes'!$C$7,'Tipología Clientes'!$L$7,'Tipología Clientes'!$L$6)))))))))))</f>
        <v>0.85</v>
      </c>
      <c r="D20" s="100">
        <f t="shared" si="2"/>
        <v>72.522159548751006</v>
      </c>
      <c r="E20" s="71" t="str">
        <f>IF(B20&gt;'Peajes Actuales'!$C$15,'Peajes Actuales'!$B$15,IF(B20&gt;'Peajes Actuales'!$C$14,'Peajes Actuales'!$B$14,IF(B20&gt;'Peajes Actuales'!$C$13,'Peajes Actuales'!$B$13,IF(B20&gt;'Peajes Actuales'!$C$12,'Peajes Actuales'!$B$12,'Peajes Actuales'!$B$11))))</f>
        <v>3.5</v>
      </c>
      <c r="F20" s="81">
        <f>'Peajes Actuales'!$H$29</f>
        <v>19.612000000000002</v>
      </c>
      <c r="G20" s="81">
        <f>'Peajes Actuales'!$I$29</f>
        <v>0.11599999999999999</v>
      </c>
      <c r="H20" s="110">
        <f t="shared" si="3"/>
        <v>17067.655116841259</v>
      </c>
      <c r="I20" s="110">
        <f t="shared" si="4"/>
        <v>2610</v>
      </c>
      <c r="J20" s="109">
        <f t="shared" si="5"/>
        <v>19677.655116841259</v>
      </c>
      <c r="K20" s="82">
        <f>'Peajes Actuales'!$I$5</f>
        <v>10.848000000000001</v>
      </c>
      <c r="L20" s="109">
        <f t="shared" si="6"/>
        <v>9440.6446414182119</v>
      </c>
      <c r="M20" s="83">
        <f>VLOOKUP(E20,'Peajes Actuales'!$B$15:$J$15,7,FALSE)</f>
        <v>59.258000000000003</v>
      </c>
      <c r="N20" s="83">
        <f>VLOOKUP(E20,'Peajes Actuales'!$B$15:$J$15,9,FALSE)</f>
        <v>2.0099999999999998</v>
      </c>
      <c r="O20" s="110">
        <f t="shared" si="7"/>
        <v>42545.429492344891</v>
      </c>
      <c r="P20" s="110">
        <f t="shared" si="8"/>
        <v>45224.999999999993</v>
      </c>
      <c r="Q20" s="109">
        <f t="shared" si="9"/>
        <v>87770.429492344876</v>
      </c>
      <c r="R20" s="111">
        <f t="shared" si="10"/>
        <v>116888.72925060434</v>
      </c>
      <c r="S20" s="74">
        <f t="shared" si="11"/>
        <v>5.1950546333601935</v>
      </c>
      <c r="U20" s="71" t="str">
        <f>IF(B20&gt;'Peajes Circular CNMC'!$C$23,'Peajes Circular CNMC'!$B$23,IF(B20&gt;'Peajes Circular CNMC'!$C$22,'Peajes Circular CNMC'!$B$22,IF(B20&gt;'Peajes Circular CNMC'!$C$21,'Peajes Circular CNMC'!$B$21,IF(B20&gt;'Peajes Circular CNMC'!$C$20,'Peajes Circular CNMC'!$B$20,IF(B20&gt;'Peajes Circular CNMC'!$C$19,'Peajes Circular CNMC'!$B$19,IF(B20&gt;'Peajes Circular CNMC'!$C$18,'Peajes Circular CNMC'!$B$18,IF(B20&gt;'Peajes Circular CNMC'!$C$17,'Peajes Circular CNMC'!$B$17,IF(B20&gt;'Peajes Circular CNMC'!$C$16,'Peajes Circular CNMC'!$B$16,IF(B20&gt;'Peajes Circular CNMC'!$C$15,'Peajes Circular CNMC'!$B$15,IF(B20&gt;'Peajes Circular CNMC'!$C$14,'Peajes Circular CNMC'!$B$14,'Peajes Circular CNMC'!$B$13))))))))))</f>
        <v>D.8</v>
      </c>
      <c r="V20" s="89">
        <f>'Peajes Circular CNMC'!$H$30</f>
        <v>25.224</v>
      </c>
      <c r="W20" s="81">
        <f>'Peajes Circular CNMC'!$I$30</f>
        <v>0.10178</v>
      </c>
      <c r="X20" s="110">
        <f t="shared" si="12"/>
        <v>21951.587429492345</v>
      </c>
      <c r="Y20" s="110">
        <f t="shared" si="13"/>
        <v>2290.0499999999997</v>
      </c>
      <c r="Z20" s="109">
        <f t="shared" si="14"/>
        <v>24241.637429492344</v>
      </c>
      <c r="AA20" s="81">
        <f>'Peajes Circular CNMC'!$H$35</f>
        <v>0.14737</v>
      </c>
      <c r="AB20" s="109">
        <f t="shared" si="15"/>
        <v>3315.8249999999998</v>
      </c>
      <c r="AC20" s="90">
        <f>'Peajes Circular CNMC'!$J$6</f>
        <v>13.922499999999999</v>
      </c>
      <c r="AD20" s="90">
        <f>'Peajes Circular CNMC'!$J$7</f>
        <v>2.5181930000000002E-2</v>
      </c>
      <c r="AE20" s="110">
        <f t="shared" si="16"/>
        <v>12116.277195809829</v>
      </c>
      <c r="AF20" s="110">
        <f t="shared" si="17"/>
        <v>566.59342500000002</v>
      </c>
      <c r="AG20" s="109">
        <f t="shared" si="18"/>
        <v>12682.87062080983</v>
      </c>
      <c r="AH20" s="90">
        <f>'Peajes Circular CNMC'!$K$6</f>
        <v>8.5966666666666658</v>
      </c>
      <c r="AI20" s="90">
        <f>'Peajes Circular CNMC'!$K$7</f>
        <v>2.5181930000000002E-2</v>
      </c>
      <c r="AJ20" s="110">
        <f t="shared" si="19"/>
        <v>7481.3859790491533</v>
      </c>
      <c r="AK20" s="110">
        <f t="shared" si="20"/>
        <v>566.59342500000002</v>
      </c>
      <c r="AL20" s="109">
        <f t="shared" si="21"/>
        <v>8047.9794040491533</v>
      </c>
      <c r="AM20" s="91">
        <f>VLOOKUP(U20,'Peajes Circular CNMC'!$B$13:$J$23,7,FALSE)</f>
        <v>34.093333333333334</v>
      </c>
      <c r="AN20" s="80">
        <f>VLOOKUP(U20,'Peajes Circular CNMC'!$B$13:$J$23,8,FALSE)</f>
        <v>0</v>
      </c>
      <c r="AO20" s="80">
        <f>VLOOKUP(U20,'Peajes Circular CNMC'!$B$13:$J$23,9,FALSE)</f>
        <v>0.52300000000000002</v>
      </c>
      <c r="AP20" s="110">
        <f t="shared" si="22"/>
        <v>29670.265914585012</v>
      </c>
      <c r="AQ20" s="110">
        <f t="shared" si="23"/>
        <v>0</v>
      </c>
      <c r="AR20" s="110">
        <f t="shared" si="24"/>
        <v>11767.5</v>
      </c>
      <c r="AS20" s="109">
        <f t="shared" si="25"/>
        <v>41437.765914585012</v>
      </c>
      <c r="AT20" s="111">
        <f t="shared" si="26"/>
        <v>89726.078368936345</v>
      </c>
      <c r="AU20" s="74">
        <f t="shared" si="27"/>
        <v>3.9878257052860597</v>
      </c>
      <c r="AW20" s="70">
        <f t="shared" si="28"/>
        <v>0.23193730581978589</v>
      </c>
      <c r="AX20" s="92">
        <f t="shared" si="29"/>
        <v>0.34343268945504529</v>
      </c>
      <c r="AY20" s="92">
        <f t="shared" si="30"/>
        <v>-0.43619114541361342</v>
      </c>
      <c r="AZ20" s="112">
        <f t="shared" si="0"/>
        <v>-27162.650881668</v>
      </c>
      <c r="BA20" s="92">
        <f t="shared" si="1"/>
        <v>-0.23238041046226501</v>
      </c>
      <c r="BB20" s="179">
        <f t="shared" si="31"/>
        <v>-1.2072289280741337</v>
      </c>
    </row>
    <row r="21" spans="2:54">
      <c r="B21" s="97">
        <v>25000</v>
      </c>
      <c r="C21" s="99">
        <f>IF($C$5&lt;&gt;"Memoria CNMC",$C$5,IF(B21&gt;'Tipología Clientes'!$C$16,'Tipología Clientes'!$L$16,IF(B21&gt;'Tipología Clientes'!$C$15,'Tipología Clientes'!$L$15,IF(B21&gt;'Tipología Clientes'!$C$14,'Tipología Clientes'!$L$14,IF(B21&gt;'Tipología Clientes'!$C$13,'Tipología Clientes'!$L$13,IF(B21&gt;'Tipología Clientes'!$C$12,'Tipología Clientes'!$L$12,IF(B21&gt;'Tipología Clientes'!$C$11,'Tipología Clientes'!$L$11,IF(B21&gt;'Tipología Clientes'!$C$10,'Tipología Clientes'!$L$10,IF(B21&gt;'Tipología Clientes'!$C$9,'Tipología Clientes'!$L$9,IF(B21&gt;'Tipología Clientes'!$C$8,'Tipología Clientes'!$L$8,IF(B21&gt;'Tipología Clientes'!$C$7,'Tipología Clientes'!$L$7,'Tipología Clientes'!$L$6)))))))))))</f>
        <v>0.85</v>
      </c>
      <c r="D21" s="100">
        <f t="shared" si="2"/>
        <v>80.580177276390017</v>
      </c>
      <c r="E21" s="71" t="str">
        <f>IF(B21&gt;'Peajes Actuales'!$C$15,'Peajes Actuales'!$B$15,IF(B21&gt;'Peajes Actuales'!$C$14,'Peajes Actuales'!$B$14,IF(B21&gt;'Peajes Actuales'!$C$13,'Peajes Actuales'!$B$13,IF(B21&gt;'Peajes Actuales'!$C$12,'Peajes Actuales'!$B$12,'Peajes Actuales'!$B$11))))</f>
        <v>3.5</v>
      </c>
      <c r="F21" s="81">
        <f>'Peajes Actuales'!$H$29</f>
        <v>19.612000000000002</v>
      </c>
      <c r="G21" s="81">
        <f>'Peajes Actuales'!$I$29</f>
        <v>0.11599999999999999</v>
      </c>
      <c r="H21" s="110">
        <f t="shared" si="3"/>
        <v>18964.061240934734</v>
      </c>
      <c r="I21" s="110">
        <f t="shared" si="4"/>
        <v>2900</v>
      </c>
      <c r="J21" s="109">
        <f t="shared" si="5"/>
        <v>21864.061240934734</v>
      </c>
      <c r="K21" s="82">
        <f>'Peajes Actuales'!$I$5</f>
        <v>10.848000000000001</v>
      </c>
      <c r="L21" s="109">
        <f t="shared" si="6"/>
        <v>10489.605157131347</v>
      </c>
      <c r="M21" s="83">
        <f>VLOOKUP(E21,'Peajes Actuales'!$B$15:$J$15,7,FALSE)</f>
        <v>59.258000000000003</v>
      </c>
      <c r="N21" s="83">
        <f>VLOOKUP(E21,'Peajes Actuales'!$B$15:$J$15,9,FALSE)</f>
        <v>2.0099999999999998</v>
      </c>
      <c r="O21" s="110">
        <f t="shared" si="7"/>
        <v>47272.699435938761</v>
      </c>
      <c r="P21" s="110">
        <f t="shared" si="8"/>
        <v>50249.999999999993</v>
      </c>
      <c r="Q21" s="109">
        <f t="shared" si="9"/>
        <v>97522.699435938761</v>
      </c>
      <c r="R21" s="111">
        <f t="shared" si="10"/>
        <v>129876.36583400484</v>
      </c>
      <c r="S21" s="74">
        <f t="shared" si="11"/>
        <v>5.1950546333601935</v>
      </c>
      <c r="U21" s="71" t="str">
        <f>IF(B21&gt;'Peajes Circular CNMC'!$C$23,'Peajes Circular CNMC'!$B$23,IF(B21&gt;'Peajes Circular CNMC'!$C$22,'Peajes Circular CNMC'!$B$22,IF(B21&gt;'Peajes Circular CNMC'!$C$21,'Peajes Circular CNMC'!$B$21,IF(B21&gt;'Peajes Circular CNMC'!$C$20,'Peajes Circular CNMC'!$B$20,IF(B21&gt;'Peajes Circular CNMC'!$C$19,'Peajes Circular CNMC'!$B$19,IF(B21&gt;'Peajes Circular CNMC'!$C$18,'Peajes Circular CNMC'!$B$18,IF(B21&gt;'Peajes Circular CNMC'!$C$17,'Peajes Circular CNMC'!$B$17,IF(B21&gt;'Peajes Circular CNMC'!$C$16,'Peajes Circular CNMC'!$B$16,IF(B21&gt;'Peajes Circular CNMC'!$C$15,'Peajes Circular CNMC'!$B$15,IF(B21&gt;'Peajes Circular CNMC'!$C$14,'Peajes Circular CNMC'!$B$14,'Peajes Circular CNMC'!$B$13))))))))))</f>
        <v>D.8</v>
      </c>
      <c r="V21" s="89">
        <f>'Peajes Circular CNMC'!$H$30</f>
        <v>25.224</v>
      </c>
      <c r="W21" s="81">
        <f>'Peajes Circular CNMC'!$I$30</f>
        <v>0.10178</v>
      </c>
      <c r="X21" s="110">
        <f t="shared" si="12"/>
        <v>24390.652699435941</v>
      </c>
      <c r="Y21" s="110">
        <f t="shared" si="13"/>
        <v>2544.5</v>
      </c>
      <c r="Z21" s="109">
        <f t="shared" si="14"/>
        <v>26935.152699435941</v>
      </c>
      <c r="AA21" s="81">
        <f>'Peajes Circular CNMC'!$H$35</f>
        <v>0.14737</v>
      </c>
      <c r="AB21" s="109">
        <f t="shared" si="15"/>
        <v>3684.25</v>
      </c>
      <c r="AC21" s="90">
        <f>'Peajes Circular CNMC'!$J$6</f>
        <v>13.922499999999999</v>
      </c>
      <c r="AD21" s="90">
        <f>'Peajes Circular CNMC'!$J$7</f>
        <v>2.5181930000000002E-2</v>
      </c>
      <c r="AE21" s="110">
        <f t="shared" si="16"/>
        <v>13462.53021756648</v>
      </c>
      <c r="AF21" s="110">
        <f t="shared" si="17"/>
        <v>629.54825000000005</v>
      </c>
      <c r="AG21" s="109">
        <f t="shared" si="18"/>
        <v>14092.07846756648</v>
      </c>
      <c r="AH21" s="90">
        <f>'Peajes Circular CNMC'!$K$6</f>
        <v>8.5966666666666658</v>
      </c>
      <c r="AI21" s="90">
        <f>'Peajes Circular CNMC'!$K$7</f>
        <v>2.5181930000000002E-2</v>
      </c>
      <c r="AJ21" s="110">
        <f t="shared" si="19"/>
        <v>8312.6510878323934</v>
      </c>
      <c r="AK21" s="110">
        <f t="shared" si="20"/>
        <v>629.54825000000005</v>
      </c>
      <c r="AL21" s="109">
        <f t="shared" si="21"/>
        <v>8942.1993378323932</v>
      </c>
      <c r="AM21" s="91">
        <f>VLOOKUP(U21,'Peajes Circular CNMC'!$B$13:$J$23,7,FALSE)</f>
        <v>34.093333333333334</v>
      </c>
      <c r="AN21" s="80">
        <f>VLOOKUP(U21,'Peajes Circular CNMC'!$B$13:$J$23,8,FALSE)</f>
        <v>0</v>
      </c>
      <c r="AO21" s="80">
        <f>VLOOKUP(U21,'Peajes Circular CNMC'!$B$13:$J$23,9,FALSE)</f>
        <v>0.52300000000000002</v>
      </c>
      <c r="AP21" s="110">
        <f t="shared" si="22"/>
        <v>32966.962127316685</v>
      </c>
      <c r="AQ21" s="110">
        <f t="shared" si="23"/>
        <v>0</v>
      </c>
      <c r="AR21" s="110">
        <f t="shared" si="24"/>
        <v>13075</v>
      </c>
      <c r="AS21" s="109">
        <f t="shared" si="25"/>
        <v>46041.962127316685</v>
      </c>
      <c r="AT21" s="111">
        <f t="shared" si="26"/>
        <v>99695.642632151503</v>
      </c>
      <c r="AU21" s="74">
        <f t="shared" si="27"/>
        <v>3.9878257052860602</v>
      </c>
      <c r="AW21" s="70">
        <f t="shared" si="28"/>
        <v>0.23193730581978589</v>
      </c>
      <c r="AX21" s="92">
        <f t="shared" si="29"/>
        <v>0.3434326894550454</v>
      </c>
      <c r="AY21" s="92">
        <f t="shared" si="30"/>
        <v>-0.43619114541361342</v>
      </c>
      <c r="AZ21" s="112">
        <f t="shared" si="0"/>
        <v>-30180.72320185334</v>
      </c>
      <c r="BA21" s="92">
        <f t="shared" si="1"/>
        <v>-0.23238041046226504</v>
      </c>
      <c r="BB21" s="179">
        <f t="shared" si="31"/>
        <v>-1.2072289280741333</v>
      </c>
    </row>
    <row r="22" spans="2:54">
      <c r="B22" s="97">
        <v>27500</v>
      </c>
      <c r="C22" s="99">
        <f>IF($C$5&lt;&gt;"Memoria CNMC",$C$5,IF(B22&gt;'Tipología Clientes'!$C$16,'Tipología Clientes'!$L$16,IF(B22&gt;'Tipología Clientes'!$C$15,'Tipología Clientes'!$L$15,IF(B22&gt;'Tipología Clientes'!$C$14,'Tipología Clientes'!$L$14,IF(B22&gt;'Tipología Clientes'!$C$13,'Tipología Clientes'!$L$13,IF(B22&gt;'Tipología Clientes'!$C$12,'Tipología Clientes'!$L$12,IF(B22&gt;'Tipología Clientes'!$C$11,'Tipología Clientes'!$L$11,IF(B22&gt;'Tipología Clientes'!$C$10,'Tipología Clientes'!$L$10,IF(B22&gt;'Tipología Clientes'!$C$9,'Tipología Clientes'!$L$9,IF(B22&gt;'Tipología Clientes'!$C$8,'Tipología Clientes'!$L$8,IF(B22&gt;'Tipología Clientes'!$C$7,'Tipología Clientes'!$L$7,'Tipología Clientes'!$L$6)))))))))))</f>
        <v>0.85</v>
      </c>
      <c r="D22" s="100">
        <f t="shared" si="2"/>
        <v>88.638195004029015</v>
      </c>
      <c r="E22" s="71" t="str">
        <f>IF(B22&gt;'Peajes Actuales'!$C$15,'Peajes Actuales'!$B$15,IF(B22&gt;'Peajes Actuales'!$C$14,'Peajes Actuales'!$B$14,IF(B22&gt;'Peajes Actuales'!$C$13,'Peajes Actuales'!$B$13,IF(B22&gt;'Peajes Actuales'!$C$12,'Peajes Actuales'!$B$12,'Peajes Actuales'!$B$11))))</f>
        <v>3.5</v>
      </c>
      <c r="F22" s="81">
        <f>'Peajes Actuales'!$H$29</f>
        <v>19.612000000000002</v>
      </c>
      <c r="G22" s="81">
        <f>'Peajes Actuales'!$I$29</f>
        <v>0.11599999999999999</v>
      </c>
      <c r="H22" s="110">
        <f t="shared" si="3"/>
        <v>20860.467365028206</v>
      </c>
      <c r="I22" s="110">
        <f t="shared" si="4"/>
        <v>3190</v>
      </c>
      <c r="J22" s="109">
        <f t="shared" si="5"/>
        <v>24050.467365028206</v>
      </c>
      <c r="K22" s="82">
        <f>'Peajes Actuales'!$I$5</f>
        <v>10.848000000000001</v>
      </c>
      <c r="L22" s="109">
        <f t="shared" si="6"/>
        <v>11538.565672844483</v>
      </c>
      <c r="M22" s="83">
        <f>VLOOKUP(E22,'Peajes Actuales'!$B$15:$J$15,7,FALSE)</f>
        <v>59.258000000000003</v>
      </c>
      <c r="N22" s="83">
        <f>VLOOKUP(E22,'Peajes Actuales'!$B$15:$J$15,9,FALSE)</f>
        <v>2.0099999999999998</v>
      </c>
      <c r="O22" s="110">
        <f t="shared" si="7"/>
        <v>51999.969379532646</v>
      </c>
      <c r="P22" s="110">
        <f t="shared" si="8"/>
        <v>55274.999999999993</v>
      </c>
      <c r="Q22" s="109">
        <f t="shared" si="9"/>
        <v>107274.96937953265</v>
      </c>
      <c r="R22" s="111">
        <f t="shared" si="10"/>
        <v>142864.00241740534</v>
      </c>
      <c r="S22" s="74">
        <f t="shared" si="11"/>
        <v>5.1950546333601944</v>
      </c>
      <c r="U22" s="71" t="str">
        <f>IF(B22&gt;'Peajes Circular CNMC'!$C$23,'Peajes Circular CNMC'!$B$23,IF(B22&gt;'Peajes Circular CNMC'!$C$22,'Peajes Circular CNMC'!$B$22,IF(B22&gt;'Peajes Circular CNMC'!$C$21,'Peajes Circular CNMC'!$B$21,IF(B22&gt;'Peajes Circular CNMC'!$C$20,'Peajes Circular CNMC'!$B$20,IF(B22&gt;'Peajes Circular CNMC'!$C$19,'Peajes Circular CNMC'!$B$19,IF(B22&gt;'Peajes Circular CNMC'!$C$18,'Peajes Circular CNMC'!$B$18,IF(B22&gt;'Peajes Circular CNMC'!$C$17,'Peajes Circular CNMC'!$B$17,IF(B22&gt;'Peajes Circular CNMC'!$C$16,'Peajes Circular CNMC'!$B$16,IF(B22&gt;'Peajes Circular CNMC'!$C$15,'Peajes Circular CNMC'!$B$15,IF(B22&gt;'Peajes Circular CNMC'!$C$14,'Peajes Circular CNMC'!$B$14,'Peajes Circular CNMC'!$B$13))))))))))</f>
        <v>D.8</v>
      </c>
      <c r="V22" s="89">
        <f>'Peajes Circular CNMC'!$H$30</f>
        <v>25.224</v>
      </c>
      <c r="W22" s="81">
        <f>'Peajes Circular CNMC'!$I$30</f>
        <v>0.10178</v>
      </c>
      <c r="X22" s="110">
        <f t="shared" si="12"/>
        <v>26829.717969379533</v>
      </c>
      <c r="Y22" s="110">
        <f t="shared" si="13"/>
        <v>2798.95</v>
      </c>
      <c r="Z22" s="109">
        <f t="shared" si="14"/>
        <v>29628.667969379534</v>
      </c>
      <c r="AA22" s="81">
        <f>'Peajes Circular CNMC'!$H$35</f>
        <v>0.14737</v>
      </c>
      <c r="AB22" s="109">
        <f t="shared" si="15"/>
        <v>4052.6750000000002</v>
      </c>
      <c r="AC22" s="90">
        <f>'Peajes Circular CNMC'!$J$6</f>
        <v>13.922499999999999</v>
      </c>
      <c r="AD22" s="90">
        <f>'Peajes Circular CNMC'!$J$7</f>
        <v>2.5181930000000002E-2</v>
      </c>
      <c r="AE22" s="110">
        <f t="shared" si="16"/>
        <v>14808.783239323127</v>
      </c>
      <c r="AF22" s="110">
        <f t="shared" si="17"/>
        <v>692.50307500000008</v>
      </c>
      <c r="AG22" s="109">
        <f t="shared" si="18"/>
        <v>15501.286314323128</v>
      </c>
      <c r="AH22" s="90">
        <f>'Peajes Circular CNMC'!$K$6</f>
        <v>8.5966666666666658</v>
      </c>
      <c r="AI22" s="90">
        <f>'Peajes Circular CNMC'!$K$7</f>
        <v>2.5181930000000002E-2</v>
      </c>
      <c r="AJ22" s="110">
        <f t="shared" si="19"/>
        <v>9143.9161966156335</v>
      </c>
      <c r="AK22" s="110">
        <f t="shared" si="20"/>
        <v>692.50307500000008</v>
      </c>
      <c r="AL22" s="109">
        <f t="shared" si="21"/>
        <v>9836.419271615634</v>
      </c>
      <c r="AM22" s="91">
        <f>VLOOKUP(U22,'Peajes Circular CNMC'!$B$13:$J$23,7,FALSE)</f>
        <v>34.093333333333334</v>
      </c>
      <c r="AN22" s="80">
        <f>VLOOKUP(U22,'Peajes Circular CNMC'!$B$13:$J$23,8,FALSE)</f>
        <v>0</v>
      </c>
      <c r="AO22" s="80">
        <f>VLOOKUP(U22,'Peajes Circular CNMC'!$B$13:$J$23,9,FALSE)</f>
        <v>0.52300000000000002</v>
      </c>
      <c r="AP22" s="110">
        <f t="shared" si="22"/>
        <v>36263.658340048351</v>
      </c>
      <c r="AQ22" s="110">
        <f t="shared" si="23"/>
        <v>0</v>
      </c>
      <c r="AR22" s="110">
        <f t="shared" si="24"/>
        <v>14382.5</v>
      </c>
      <c r="AS22" s="109">
        <f t="shared" si="25"/>
        <v>50646.158340048351</v>
      </c>
      <c r="AT22" s="111">
        <f t="shared" si="26"/>
        <v>109665.20689536665</v>
      </c>
      <c r="AU22" s="74">
        <f t="shared" si="27"/>
        <v>3.9878257052860597</v>
      </c>
      <c r="AW22" s="70">
        <f t="shared" si="28"/>
        <v>0.23193730581978594</v>
      </c>
      <c r="AX22" s="92">
        <f t="shared" si="29"/>
        <v>0.34343268945504529</v>
      </c>
      <c r="AY22" s="92">
        <f t="shared" si="30"/>
        <v>-0.43619114541361353</v>
      </c>
      <c r="AZ22" s="112">
        <f t="shared" si="0"/>
        <v>-33198.795522038694</v>
      </c>
      <c r="BA22" s="92">
        <f t="shared" si="1"/>
        <v>-0.23238041046226515</v>
      </c>
      <c r="BB22" s="179">
        <f t="shared" si="31"/>
        <v>-1.2072289280741346</v>
      </c>
    </row>
    <row r="23" spans="2:54">
      <c r="B23" s="97">
        <v>30000</v>
      </c>
      <c r="C23" s="99">
        <f>IF($C$5&lt;&gt;"Memoria CNMC",$C$5,IF(B23&gt;'Tipología Clientes'!$C$16,'Tipología Clientes'!$L$16,IF(B23&gt;'Tipología Clientes'!$C$15,'Tipología Clientes'!$L$15,IF(B23&gt;'Tipología Clientes'!$C$14,'Tipología Clientes'!$L$14,IF(B23&gt;'Tipología Clientes'!$C$13,'Tipología Clientes'!$L$13,IF(B23&gt;'Tipología Clientes'!$C$12,'Tipología Clientes'!$L$12,IF(B23&gt;'Tipología Clientes'!$C$11,'Tipología Clientes'!$L$11,IF(B23&gt;'Tipología Clientes'!$C$10,'Tipología Clientes'!$L$10,IF(B23&gt;'Tipología Clientes'!$C$9,'Tipología Clientes'!$L$9,IF(B23&gt;'Tipología Clientes'!$C$8,'Tipología Clientes'!$L$8,IF(B23&gt;'Tipología Clientes'!$C$7,'Tipología Clientes'!$L$7,'Tipología Clientes'!$L$6)))))))))))</f>
        <v>0.85</v>
      </c>
      <c r="D23" s="100">
        <f t="shared" si="2"/>
        <v>96.696212731668012</v>
      </c>
      <c r="E23" s="71" t="str">
        <f>IF(B23&gt;'Peajes Actuales'!$C$15,'Peajes Actuales'!$B$15,IF(B23&gt;'Peajes Actuales'!$C$14,'Peajes Actuales'!$B$14,IF(B23&gt;'Peajes Actuales'!$C$13,'Peajes Actuales'!$B$13,IF(B23&gt;'Peajes Actuales'!$C$12,'Peajes Actuales'!$B$12,'Peajes Actuales'!$B$11))))</f>
        <v>3.5</v>
      </c>
      <c r="F23" s="81">
        <f>'Peajes Actuales'!$H$29</f>
        <v>19.612000000000002</v>
      </c>
      <c r="G23" s="81">
        <f>'Peajes Actuales'!$I$29</f>
        <v>0.11599999999999999</v>
      </c>
      <c r="H23" s="110">
        <f t="shared" si="3"/>
        <v>22756.873489121677</v>
      </c>
      <c r="I23" s="110">
        <f t="shared" si="4"/>
        <v>3479.9999999999995</v>
      </c>
      <c r="J23" s="109">
        <f t="shared" si="5"/>
        <v>26236.873489121677</v>
      </c>
      <c r="K23" s="82">
        <f>'Peajes Actuales'!$I$5</f>
        <v>10.848000000000001</v>
      </c>
      <c r="L23" s="109">
        <f t="shared" si="6"/>
        <v>12587.526188557616</v>
      </c>
      <c r="M23" s="83">
        <f>VLOOKUP(E23,'Peajes Actuales'!$B$15:$J$15,7,FALSE)</f>
        <v>59.258000000000003</v>
      </c>
      <c r="N23" s="83">
        <f>VLOOKUP(E23,'Peajes Actuales'!$B$15:$J$15,9,FALSE)</f>
        <v>2.0099999999999998</v>
      </c>
      <c r="O23" s="110">
        <f t="shared" si="7"/>
        <v>56727.239323126516</v>
      </c>
      <c r="P23" s="110">
        <f t="shared" si="8"/>
        <v>60299.999999999993</v>
      </c>
      <c r="Q23" s="109">
        <f t="shared" si="9"/>
        <v>117027.2393231265</v>
      </c>
      <c r="R23" s="111">
        <f t="shared" si="10"/>
        <v>155851.63900080579</v>
      </c>
      <c r="S23" s="74">
        <f t="shared" si="11"/>
        <v>5.1950546333601935</v>
      </c>
      <c r="U23" s="71" t="str">
        <f>IF(B23&gt;'Peajes Circular CNMC'!$C$23,'Peajes Circular CNMC'!$B$23,IF(B23&gt;'Peajes Circular CNMC'!$C$22,'Peajes Circular CNMC'!$B$22,IF(B23&gt;'Peajes Circular CNMC'!$C$21,'Peajes Circular CNMC'!$B$21,IF(B23&gt;'Peajes Circular CNMC'!$C$20,'Peajes Circular CNMC'!$B$20,IF(B23&gt;'Peajes Circular CNMC'!$C$19,'Peajes Circular CNMC'!$B$19,IF(B23&gt;'Peajes Circular CNMC'!$C$18,'Peajes Circular CNMC'!$B$18,IF(B23&gt;'Peajes Circular CNMC'!$C$17,'Peajes Circular CNMC'!$B$17,IF(B23&gt;'Peajes Circular CNMC'!$C$16,'Peajes Circular CNMC'!$B$16,IF(B23&gt;'Peajes Circular CNMC'!$C$15,'Peajes Circular CNMC'!$B$15,IF(B23&gt;'Peajes Circular CNMC'!$C$14,'Peajes Circular CNMC'!$B$14,'Peajes Circular CNMC'!$B$13))))))))))</f>
        <v>D.8</v>
      </c>
      <c r="V23" s="89">
        <f>'Peajes Circular CNMC'!$H$30</f>
        <v>25.224</v>
      </c>
      <c r="W23" s="81">
        <f>'Peajes Circular CNMC'!$I$30</f>
        <v>0.10178</v>
      </c>
      <c r="X23" s="110">
        <f t="shared" si="12"/>
        <v>29268.783239323126</v>
      </c>
      <c r="Y23" s="110">
        <f t="shared" si="13"/>
        <v>3053.4</v>
      </c>
      <c r="Z23" s="109">
        <f t="shared" si="14"/>
        <v>32322.183239323127</v>
      </c>
      <c r="AA23" s="81">
        <f>'Peajes Circular CNMC'!$H$35</f>
        <v>0.14737</v>
      </c>
      <c r="AB23" s="109">
        <f t="shared" si="15"/>
        <v>4421.1000000000004</v>
      </c>
      <c r="AC23" s="90">
        <f>'Peajes Circular CNMC'!$J$6</f>
        <v>13.922499999999999</v>
      </c>
      <c r="AD23" s="90">
        <f>'Peajes Circular CNMC'!$J$7</f>
        <v>2.5181930000000002E-2</v>
      </c>
      <c r="AE23" s="110">
        <f t="shared" si="16"/>
        <v>16155.036261079775</v>
      </c>
      <c r="AF23" s="110">
        <f t="shared" si="17"/>
        <v>755.4579</v>
      </c>
      <c r="AG23" s="109">
        <f t="shared" si="18"/>
        <v>16910.494161079776</v>
      </c>
      <c r="AH23" s="90">
        <f>'Peajes Circular CNMC'!$K$6</f>
        <v>8.5966666666666658</v>
      </c>
      <c r="AI23" s="90">
        <f>'Peajes Circular CNMC'!$K$7</f>
        <v>2.5181930000000002E-2</v>
      </c>
      <c r="AJ23" s="110">
        <f t="shared" si="19"/>
        <v>9975.1813053988717</v>
      </c>
      <c r="AK23" s="110">
        <f t="shared" si="20"/>
        <v>755.4579</v>
      </c>
      <c r="AL23" s="109">
        <f t="shared" si="21"/>
        <v>10730.639205398871</v>
      </c>
      <c r="AM23" s="91">
        <f>VLOOKUP(U23,'Peajes Circular CNMC'!$B$13:$J$23,7,FALSE)</f>
        <v>34.093333333333334</v>
      </c>
      <c r="AN23" s="80">
        <f>VLOOKUP(U23,'Peajes Circular CNMC'!$B$13:$J$23,8,FALSE)</f>
        <v>0</v>
      </c>
      <c r="AO23" s="80">
        <f>VLOOKUP(U23,'Peajes Circular CNMC'!$B$13:$J$23,9,FALSE)</f>
        <v>0.52300000000000002</v>
      </c>
      <c r="AP23" s="110">
        <f t="shared" si="22"/>
        <v>39560.354552780016</v>
      </c>
      <c r="AQ23" s="110">
        <f t="shared" si="23"/>
        <v>0</v>
      </c>
      <c r="AR23" s="110">
        <f t="shared" si="24"/>
        <v>15690</v>
      </c>
      <c r="AS23" s="109">
        <f t="shared" si="25"/>
        <v>55250.354552780016</v>
      </c>
      <c r="AT23" s="111">
        <f>Z23+AB23+AG23+AL23+AS23</f>
        <v>119634.77115858179</v>
      </c>
      <c r="AU23" s="74">
        <f t="shared" si="27"/>
        <v>3.9878257052860597</v>
      </c>
      <c r="AW23" s="70">
        <f t="shared" si="28"/>
        <v>0.23193730581978597</v>
      </c>
      <c r="AX23" s="92">
        <f t="shared" si="29"/>
        <v>0.3434326894550454</v>
      </c>
      <c r="AY23" s="92">
        <f t="shared" si="30"/>
        <v>-0.43619114541361348</v>
      </c>
      <c r="AZ23" s="112">
        <f t="shared" si="0"/>
        <v>-36216.867842224005</v>
      </c>
      <c r="BA23" s="92">
        <f t="shared" si="1"/>
        <v>-0.23238041046226504</v>
      </c>
      <c r="BB23" s="179">
        <f t="shared" si="31"/>
        <v>-1.2072289280741337</v>
      </c>
    </row>
  </sheetData>
  <mergeCells count="17">
    <mergeCell ref="AT7:AU7"/>
    <mergeCell ref="R8:S8"/>
    <mergeCell ref="AT8:AU8"/>
    <mergeCell ref="AA7:AB7"/>
    <mergeCell ref="AZ8:BA8"/>
    <mergeCell ref="C5:D5"/>
    <mergeCell ref="B6:C6"/>
    <mergeCell ref="F6:S6"/>
    <mergeCell ref="V6:AU6"/>
    <mergeCell ref="F7:J7"/>
    <mergeCell ref="K7:L7"/>
    <mergeCell ref="M7:Q7"/>
    <mergeCell ref="R7:S7"/>
    <mergeCell ref="V7:Z7"/>
    <mergeCell ref="AC7:AG7"/>
    <mergeCell ref="AH7:AL7"/>
    <mergeCell ref="AM7:AS7"/>
  </mergeCells>
  <conditionalFormatting sqref="AZ10:AZ23">
    <cfRule type="cellIs" dxfId="11" priority="8" operator="greaterThan">
      <formula>0</formula>
    </cfRule>
  </conditionalFormatting>
  <conditionalFormatting sqref="BA10:BA23">
    <cfRule type="cellIs" dxfId="10" priority="7" operator="greaterThan">
      <formula>0</formula>
    </cfRule>
  </conditionalFormatting>
  <conditionalFormatting sqref="AZ10:AZ23">
    <cfRule type="cellIs" dxfId="9" priority="6" operator="lessThan">
      <formula>0</formula>
    </cfRule>
  </conditionalFormatting>
  <conditionalFormatting sqref="BA10:BA23">
    <cfRule type="cellIs" dxfId="8" priority="5" operator="lessThan">
      <formula>0</formula>
    </cfRule>
  </conditionalFormatting>
  <conditionalFormatting sqref="AW10:AY23">
    <cfRule type="cellIs" dxfId="7" priority="4" operator="greaterThan">
      <formula>0</formula>
    </cfRule>
  </conditionalFormatting>
  <conditionalFormatting sqref="AW10:AY23">
    <cfRule type="cellIs" dxfId="6" priority="3" operator="lessThan">
      <formula>0</formula>
    </cfRule>
  </conditionalFormatting>
  <conditionalFormatting sqref="BB10:BB23">
    <cfRule type="cellIs" dxfId="5" priority="2" operator="greaterThan">
      <formula>0</formula>
    </cfRule>
  </conditionalFormatting>
  <conditionalFormatting sqref="BB10:BB23">
    <cfRule type="cellIs" dxfId="4" priority="1" operator="lessThan">
      <formula>0</formula>
    </cfRule>
  </conditionalFormatting>
  <dataValidations disablePrompts="1" count="2">
    <dataValidation type="list" allowBlank="1" showInputMessage="1" showErrorMessage="1" sqref="D6">
      <mc:AlternateContent xmlns:x12ac="http://schemas.microsoft.com/office/spreadsheetml/2011/1/ac" xmlns:mc="http://schemas.openxmlformats.org/markup-compatibility/2006">
        <mc:Choice Requires="x12ac">
          <x12ac:list>0,"0,10","0,15","0,20","0,25","0,30","0,35","0,40","0,45","0,50"</x12ac:list>
        </mc:Choice>
        <mc:Fallback>
          <formula1>"0,0,10,0,15,0,20,0,25,0,30,0,35,0,40,0,45,0,50"</formula1>
        </mc:Fallback>
      </mc:AlternateContent>
    </dataValidation>
    <dataValidation type="list" allowBlank="1" showInputMessage="1" showErrorMessage="1" sqref="C5">
      <mc:AlternateContent xmlns:x12ac="http://schemas.microsoft.com/office/spreadsheetml/2011/1/ac" xmlns:mc="http://schemas.openxmlformats.org/markup-compatibility/2006">
        <mc:Choice Requires="x12ac">
          <x12ac:list>Memoria CNMC,"0,80","0,85","0,90"</x12ac:list>
        </mc:Choice>
        <mc:Fallback>
          <formula1>"Memoria CNMC,0,80,0,85,0,90"</formula1>
        </mc:Fallback>
      </mc:AlternateContent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0" orientation="landscape" r:id="rId1"/>
  <headerFooter>
    <oddHeader>&amp;LANEXO I: CÁLCULOS DEL IMPACTO PROMEDIO DE LA NUEVA METODOLOGÍA DE PEAJES SOBRE LOS CLIENTES&amp;R&amp;A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AV15"/>
  <sheetViews>
    <sheetView showGridLines="0" tabSelected="1" zoomScale="80" zoomScaleNormal="80" workbookViewId="0">
      <selection activeCell="AV16" sqref="AV16"/>
    </sheetView>
  </sheetViews>
  <sheetFormatPr baseColWidth="10" defaultColWidth="11" defaultRowHeight="16.5" outlineLevelCol="1"/>
  <cols>
    <col min="1" max="1" width="2.140625" style="62" customWidth="1"/>
    <col min="2" max="2" width="12.42578125" style="61" customWidth="1"/>
    <col min="3" max="3" width="6.7109375" style="62" customWidth="1"/>
    <col min="4" max="4" width="11.42578125" style="62" customWidth="1"/>
    <col min="5" max="5" width="10.42578125" style="62" customWidth="1"/>
    <col min="6" max="6" width="9" style="62" customWidth="1"/>
    <col min="7" max="7" width="13.42578125" style="62" hidden="1" customWidth="1" outlineLevel="1"/>
    <col min="8" max="8" width="8.5703125" style="62" hidden="1" customWidth="1" outlineLevel="1"/>
    <col min="9" max="9" width="12.5703125" style="62" hidden="1" customWidth="1" outlineLevel="1"/>
    <col min="10" max="10" width="11.5703125" style="62" hidden="1" customWidth="1" outlineLevel="1"/>
    <col min="11" max="11" width="15.140625" style="62" bestFit="1" customWidth="1" collapsed="1"/>
    <col min="12" max="12" width="14.140625" style="62" hidden="1" customWidth="1" outlineLevel="1"/>
    <col min="13" max="13" width="14.140625" style="62" customWidth="1" collapsed="1"/>
    <col min="14" max="17" width="13.42578125" style="62" hidden="1" customWidth="1" outlineLevel="1"/>
    <col min="18" max="18" width="18.28515625" style="62" customWidth="1" collapsed="1"/>
    <col min="19" max="22" width="13.42578125" style="62" hidden="1" customWidth="1" outlineLevel="1"/>
    <col min="23" max="23" width="18.5703125" style="62" customWidth="1" collapsed="1"/>
    <col min="24" max="25" width="13.42578125" style="62" hidden="1" customWidth="1" outlineLevel="1"/>
    <col min="26" max="26" width="7.42578125" style="62" hidden="1" customWidth="1" outlineLevel="1"/>
    <col min="27" max="27" width="12.5703125" style="62" hidden="1" customWidth="1" outlineLevel="1"/>
    <col min="28" max="28" width="11.5703125" style="62" hidden="1" customWidth="1" outlineLevel="1"/>
    <col min="29" max="29" width="12.5703125" style="62" hidden="1" customWidth="1" outlineLevel="1"/>
    <col min="30" max="30" width="14.42578125" style="62" customWidth="1" collapsed="1"/>
    <col min="31" max="31" width="16.7109375" style="62" bestFit="1" customWidth="1"/>
    <col min="32" max="32" width="8.42578125" style="62" customWidth="1"/>
    <col min="33" max="33" width="5.28515625" style="62" customWidth="1"/>
    <col min="34" max="34" width="13.42578125" style="62" hidden="1" customWidth="1" outlineLevel="1"/>
    <col min="35" max="35" width="9.5703125" style="62" hidden="1" customWidth="1" outlineLevel="1"/>
    <col min="36" max="36" width="16.28515625" style="62" hidden="1" customWidth="1" outlineLevel="1"/>
    <col min="37" max="37" width="11.5703125" style="62" hidden="1" customWidth="1" outlineLevel="1"/>
    <col min="38" max="38" width="16.28515625" style="62" bestFit="1" customWidth="1" collapsed="1"/>
    <col min="39" max="39" width="9" style="62" hidden="1" customWidth="1" outlineLevel="1"/>
    <col min="40" max="40" width="13.5703125" style="62" bestFit="1" customWidth="1" collapsed="1"/>
    <col min="41" max="41" width="9.42578125" style="62" hidden="1" customWidth="1" outlineLevel="1"/>
    <col min="42" max="42" width="16.28515625" style="62" customWidth="1" collapsed="1"/>
    <col min="43" max="43" width="15.140625" style="62" bestFit="1" customWidth="1"/>
    <col min="44" max="44" width="9.5703125" style="62" customWidth="1"/>
    <col min="45" max="45" width="3" style="62" customWidth="1"/>
    <col min="46" max="46" width="13.85546875" style="62" customWidth="1"/>
    <col min="47" max="47" width="9.42578125" style="62" customWidth="1"/>
    <col min="48" max="48" width="8.42578125" style="62" bestFit="1" customWidth="1"/>
    <col min="49" max="16384" width="11" style="62"/>
  </cols>
  <sheetData>
    <row r="2" spans="2:48" ht="18">
      <c r="B2" s="188" t="s">
        <v>191</v>
      </c>
    </row>
    <row r="3" spans="2:48" ht="20.25">
      <c r="B3" s="189" t="s">
        <v>190</v>
      </c>
    </row>
    <row r="5" spans="2:48">
      <c r="B5" s="115" t="s">
        <v>38</v>
      </c>
      <c r="C5" s="262">
        <v>0.85</v>
      </c>
      <c r="D5" s="263"/>
    </row>
    <row r="6" spans="2:48">
      <c r="B6" s="113" t="s">
        <v>108</v>
      </c>
      <c r="C6" s="117"/>
      <c r="D6" s="121">
        <v>250</v>
      </c>
      <c r="G6" s="267" t="s">
        <v>101</v>
      </c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68"/>
      <c r="U6" s="268"/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9"/>
      <c r="AH6" s="267" t="s">
        <v>115</v>
      </c>
      <c r="AI6" s="268"/>
      <c r="AJ6" s="268"/>
      <c r="AK6" s="268"/>
      <c r="AL6" s="268"/>
      <c r="AM6" s="268"/>
      <c r="AN6" s="268"/>
      <c r="AO6" s="268"/>
      <c r="AP6" s="268"/>
      <c r="AQ6" s="268"/>
      <c r="AR6" s="269"/>
    </row>
    <row r="7" spans="2:48">
      <c r="G7" s="273" t="s">
        <v>94</v>
      </c>
      <c r="H7" s="274"/>
      <c r="I7" s="274"/>
      <c r="J7" s="274"/>
      <c r="K7" s="275"/>
      <c r="L7" s="273" t="s">
        <v>132</v>
      </c>
      <c r="M7" s="275"/>
      <c r="N7" s="273" t="s">
        <v>133</v>
      </c>
      <c r="O7" s="274"/>
      <c r="P7" s="274"/>
      <c r="Q7" s="274"/>
      <c r="R7" s="275"/>
      <c r="S7" s="273" t="s">
        <v>134</v>
      </c>
      <c r="T7" s="274"/>
      <c r="U7" s="274"/>
      <c r="V7" s="274"/>
      <c r="W7" s="275"/>
      <c r="X7" s="273" t="s">
        <v>104</v>
      </c>
      <c r="Y7" s="274"/>
      <c r="Z7" s="274"/>
      <c r="AA7" s="274"/>
      <c r="AB7" s="274"/>
      <c r="AC7" s="274"/>
      <c r="AD7" s="275"/>
      <c r="AE7" s="273" t="s">
        <v>99</v>
      </c>
      <c r="AF7" s="275"/>
      <c r="AH7" s="273" t="s">
        <v>107</v>
      </c>
      <c r="AI7" s="274"/>
      <c r="AJ7" s="274"/>
      <c r="AK7" s="274"/>
      <c r="AL7" s="275"/>
      <c r="AM7" s="273" t="s">
        <v>132</v>
      </c>
      <c r="AN7" s="275"/>
      <c r="AO7" s="273" t="s">
        <v>135</v>
      </c>
      <c r="AP7" s="275"/>
      <c r="AQ7" s="273" t="s">
        <v>114</v>
      </c>
      <c r="AR7" s="275"/>
    </row>
    <row r="8" spans="2:48">
      <c r="B8" s="63" t="s">
        <v>86</v>
      </c>
      <c r="C8" s="194" t="s">
        <v>38</v>
      </c>
      <c r="D8" s="193" t="s">
        <v>88</v>
      </c>
      <c r="G8" s="191" t="s">
        <v>54</v>
      </c>
      <c r="H8" s="84" t="s">
        <v>91</v>
      </c>
      <c r="I8" s="85" t="s">
        <v>54</v>
      </c>
      <c r="J8" s="85" t="s">
        <v>91</v>
      </c>
      <c r="K8" s="86" t="s">
        <v>92</v>
      </c>
      <c r="L8" s="181"/>
      <c r="M8" s="192" t="s">
        <v>92</v>
      </c>
      <c r="N8" s="191" t="s">
        <v>54</v>
      </c>
      <c r="O8" s="84" t="s">
        <v>91</v>
      </c>
      <c r="P8" s="84" t="s">
        <v>54</v>
      </c>
      <c r="Q8" s="84" t="s">
        <v>91</v>
      </c>
      <c r="R8" s="192" t="s">
        <v>92</v>
      </c>
      <c r="S8" s="191" t="s">
        <v>54</v>
      </c>
      <c r="T8" s="84" t="s">
        <v>91</v>
      </c>
      <c r="U8" s="84" t="s">
        <v>54</v>
      </c>
      <c r="V8" s="84" t="s">
        <v>91</v>
      </c>
      <c r="W8" s="192" t="s">
        <v>92</v>
      </c>
      <c r="X8" s="191" t="s">
        <v>90</v>
      </c>
      <c r="Y8" s="84" t="s">
        <v>50</v>
      </c>
      <c r="Z8" s="84" t="s">
        <v>91</v>
      </c>
      <c r="AA8" s="84" t="s">
        <v>90</v>
      </c>
      <c r="AB8" s="84" t="s">
        <v>50</v>
      </c>
      <c r="AC8" s="84" t="s">
        <v>91</v>
      </c>
      <c r="AD8" s="192" t="s">
        <v>92</v>
      </c>
      <c r="AE8" s="259" t="s">
        <v>98</v>
      </c>
      <c r="AF8" s="260"/>
      <c r="AH8" s="191" t="s">
        <v>54</v>
      </c>
      <c r="AI8" s="84" t="s">
        <v>91</v>
      </c>
      <c r="AJ8" s="85" t="s">
        <v>54</v>
      </c>
      <c r="AK8" s="85" t="s">
        <v>91</v>
      </c>
      <c r="AL8" s="86" t="s">
        <v>92</v>
      </c>
      <c r="AM8" s="181"/>
      <c r="AN8" s="192" t="s">
        <v>92</v>
      </c>
      <c r="AO8" s="84" t="s">
        <v>91</v>
      </c>
      <c r="AP8" s="84" t="s">
        <v>92</v>
      </c>
      <c r="AQ8" s="259" t="s">
        <v>98</v>
      </c>
      <c r="AR8" s="260"/>
      <c r="AT8" s="261" t="s">
        <v>92</v>
      </c>
      <c r="AU8" s="261"/>
    </row>
    <row r="9" spans="2:48" s="69" customFormat="1">
      <c r="B9" s="66" t="s">
        <v>87</v>
      </c>
      <c r="C9" s="67" t="s">
        <v>53</v>
      </c>
      <c r="D9" s="68" t="s">
        <v>37</v>
      </c>
      <c r="E9" s="193" t="s">
        <v>153</v>
      </c>
      <c r="F9" s="122" t="s">
        <v>154</v>
      </c>
      <c r="G9" s="68" t="s">
        <v>58</v>
      </c>
      <c r="H9" s="68" t="s">
        <v>12</v>
      </c>
      <c r="I9" s="72" t="s">
        <v>93</v>
      </c>
      <c r="J9" s="72" t="s">
        <v>93</v>
      </c>
      <c r="K9" s="72" t="s">
        <v>93</v>
      </c>
      <c r="L9" s="68" t="s">
        <v>12</v>
      </c>
      <c r="M9" s="72" t="s">
        <v>93</v>
      </c>
      <c r="N9" s="68" t="s">
        <v>58</v>
      </c>
      <c r="O9" s="68" t="s">
        <v>12</v>
      </c>
      <c r="P9" s="68" t="s">
        <v>93</v>
      </c>
      <c r="Q9" s="68" t="s">
        <v>93</v>
      </c>
      <c r="R9" s="68" t="s">
        <v>93</v>
      </c>
      <c r="S9" s="68" t="s">
        <v>58</v>
      </c>
      <c r="T9" s="68" t="s">
        <v>12</v>
      </c>
      <c r="U9" s="68" t="s">
        <v>93</v>
      </c>
      <c r="V9" s="68" t="s">
        <v>93</v>
      </c>
      <c r="W9" s="68" t="s">
        <v>93</v>
      </c>
      <c r="X9" s="68" t="s">
        <v>58</v>
      </c>
      <c r="Y9" s="68" t="s">
        <v>97</v>
      </c>
      <c r="Z9" s="68" t="s">
        <v>12</v>
      </c>
      <c r="AA9" s="68" t="s">
        <v>93</v>
      </c>
      <c r="AB9" s="68" t="s">
        <v>93</v>
      </c>
      <c r="AC9" s="68" t="s">
        <v>93</v>
      </c>
      <c r="AD9" s="68" t="s">
        <v>93</v>
      </c>
      <c r="AE9" s="68" t="s">
        <v>93</v>
      </c>
      <c r="AF9" s="68" t="s">
        <v>12</v>
      </c>
      <c r="AH9" s="125" t="s">
        <v>58</v>
      </c>
      <c r="AI9" s="68" t="s">
        <v>113</v>
      </c>
      <c r="AJ9" s="72" t="s">
        <v>93</v>
      </c>
      <c r="AK9" s="72" t="s">
        <v>93</v>
      </c>
      <c r="AL9" s="126" t="s">
        <v>93</v>
      </c>
      <c r="AM9" s="68" t="s">
        <v>12</v>
      </c>
      <c r="AN9" s="72" t="s">
        <v>93</v>
      </c>
      <c r="AO9" s="68" t="s">
        <v>12</v>
      </c>
      <c r="AP9" s="68" t="s">
        <v>93</v>
      </c>
      <c r="AQ9" s="68" t="s">
        <v>93</v>
      </c>
      <c r="AR9" s="68" t="s">
        <v>12</v>
      </c>
      <c r="AT9" s="95" t="s">
        <v>103</v>
      </c>
      <c r="AU9" s="96" t="s">
        <v>53</v>
      </c>
      <c r="AV9" s="178" t="s">
        <v>129</v>
      </c>
    </row>
    <row r="10" spans="2:48">
      <c r="B10" s="97">
        <v>457</v>
      </c>
      <c r="C10" s="99">
        <f>IF($C$5&lt;&gt;"Memoria CNMC",$C$5,IF(B10&gt;'Tipología Clientes'!$C$16,'Tipología Clientes'!$L$16,IF(B10&gt;'Tipología Clientes'!$C$15,'Tipología Clientes'!$L$15,IF(B10&gt;'Tipología Clientes'!$C$14,'Tipología Clientes'!$L$14,IF(B10&gt;'Tipología Clientes'!$C$13,'Tipología Clientes'!$L$13,IF(B10&gt;'Tipología Clientes'!$C$12,'Tipología Clientes'!$L$12,IF(B10&gt;'Tipología Clientes'!$C$11,'Tipología Clientes'!$L$11,IF(B10&gt;'Tipología Clientes'!$C$10,'Tipología Clientes'!$L$10,IF(B10&gt;'Tipología Clientes'!$C$9,'Tipología Clientes'!$L$9,IF(B10&gt;'Tipología Clientes'!$C$8,'Tipología Clientes'!$L$8,IF(B10&gt;'Tipología Clientes'!$C$7,'Tipología Clientes'!$L$7,'Tipología Clientes'!$L$6)))))))))))</f>
        <v>0.85</v>
      </c>
      <c r="D10" s="100">
        <f t="shared" ref="D10:D15" si="0">B10/365/C10</f>
        <v>1.4730056406124095</v>
      </c>
      <c r="E10" s="71" t="s">
        <v>70</v>
      </c>
      <c r="F10" s="71" t="str">
        <f>IF(B10&gt;'Peajes Circular CNMC'!$C$23,'Peajes Circular CNMC'!$B$23,IF(B10&gt;'Peajes Circular CNMC'!$C$22,'Peajes Circular CNMC'!$B$22,IF(B10&gt;'Peajes Circular CNMC'!$C$21,'Peajes Circular CNMC'!$B$21,IF(B10&gt;'Peajes Circular CNMC'!$C$20,'Peajes Circular CNMC'!$B$20,IF(B10&gt;'Peajes Circular CNMC'!$C$19,'Peajes Circular CNMC'!$B$19,IF(B10&gt;'Peajes Circular CNMC'!$C$18,'Peajes Circular CNMC'!$B$18,IF(B10&gt;'Peajes Circular CNMC'!$C$17,'Peajes Circular CNMC'!$B$17,IF(B10&gt;'Peajes Circular CNMC'!$C$16,'Peajes Circular CNMC'!$B$16,IF(B10&gt;'Peajes Circular CNMC'!$C$15,'Peajes Circular CNMC'!$B$15,IF(B10&gt;'Peajes Circular CNMC'!$C$14,'Peajes Circular CNMC'!$B$14,'Peajes Circular CNMC'!$B$13))))))))))</f>
        <v>D.5</v>
      </c>
      <c r="G10" s="89">
        <f>'Peajes Circular CNMC'!$H$30</f>
        <v>25.224</v>
      </c>
      <c r="H10" s="81">
        <f>'Peajes Circular CNMC'!$I$30</f>
        <v>0.10178</v>
      </c>
      <c r="I10" s="110">
        <f t="shared" ref="I10:I15" si="1">12*G10*D10</f>
        <v>445.86113134568899</v>
      </c>
      <c r="J10" s="110">
        <f t="shared" ref="J10:J15" si="2">H10*B10</f>
        <v>46.513459999999995</v>
      </c>
      <c r="K10" s="109">
        <f t="shared" ref="K10:K15" si="3">I10+J10</f>
        <v>492.374591345689</v>
      </c>
      <c r="L10" s="81">
        <f>'Peajes Circular CNMC'!$H$35</f>
        <v>0.14737</v>
      </c>
      <c r="M10" s="109">
        <f t="shared" ref="M10:M15" si="4">B10*L10</f>
        <v>67.348089999999999</v>
      </c>
      <c r="N10" s="90">
        <f>'Peajes Circular CNMC'!$J$6</f>
        <v>13.922499999999999</v>
      </c>
      <c r="O10" s="90">
        <f>'Peajes Circular CNMC'!$J$7</f>
        <v>2.5181930000000002E-2</v>
      </c>
      <c r="P10" s="110">
        <f t="shared" ref="P10:P15" si="5">N10*12*D10</f>
        <v>246.09505237711525</v>
      </c>
      <c r="Q10" s="110">
        <f t="shared" ref="Q10:Q15" si="6">O10*B10</f>
        <v>11.50814201</v>
      </c>
      <c r="R10" s="109">
        <f t="shared" ref="R10:R15" si="7">P10+Q10</f>
        <v>257.60319438711525</v>
      </c>
      <c r="S10" s="90">
        <f>'Peajes Circular CNMC'!$K$6</f>
        <v>8.5966666666666658</v>
      </c>
      <c r="T10" s="90">
        <f>'Peajes Circular CNMC'!$K$7</f>
        <v>2.5181930000000002E-2</v>
      </c>
      <c r="U10" s="110">
        <f t="shared" ref="U10:U15" si="8">S10*12*D10</f>
        <v>151.95526188557616</v>
      </c>
      <c r="V10" s="110">
        <f t="shared" ref="V10:V15" si="9">T10*B10</f>
        <v>11.50814201</v>
      </c>
      <c r="W10" s="109">
        <f t="shared" ref="W10:W15" si="10">U10+V10</f>
        <v>163.46340389557616</v>
      </c>
      <c r="X10" s="91">
        <f>VLOOKUP(F10,'Peajes Circular CNMC'!$B$13:$J$23,7,FALSE)</f>
        <v>0</v>
      </c>
      <c r="Y10" s="80">
        <f>VLOOKUP(F10,'Peajes Circular CNMC'!$B$13:$J$23,8,FALSE)</f>
        <v>184.27269999999999</v>
      </c>
      <c r="Z10" s="80">
        <f>VLOOKUP(F10,'Peajes Circular CNMC'!$B$13:$J$23,9,FALSE)</f>
        <v>12.071</v>
      </c>
      <c r="AA10" s="110">
        <f t="shared" ref="AA10:AA15" si="11">12*X10*D10</f>
        <v>0</v>
      </c>
      <c r="AB10" s="110">
        <f t="shared" ref="AB10:AB15" si="12">12*Y10</f>
        <v>2211.2723999999998</v>
      </c>
      <c r="AC10" s="110">
        <f t="shared" ref="AC10:AC15" si="13">Z10*B10</f>
        <v>5516.4470000000001</v>
      </c>
      <c r="AD10" s="109">
        <f t="shared" ref="AD10:AD15" si="14">AA10+AB10+AC10</f>
        <v>7727.7194</v>
      </c>
      <c r="AE10" s="111">
        <f>K10+M10+R10+W10+AD10</f>
        <v>8708.5086796283795</v>
      </c>
      <c r="AF10" s="74">
        <f t="shared" ref="AF10:AF15" si="15">AE10/B10</f>
        <v>19.055817679711989</v>
      </c>
      <c r="AH10" s="89">
        <f>'Peajes Circular CNMC'!$H$42</f>
        <v>21.719000000000001</v>
      </c>
      <c r="AI10" s="81">
        <f>'Peajes Circular CNMC'!$I$42</f>
        <v>8.6959999999999996E-2</v>
      </c>
      <c r="AJ10" s="110">
        <f t="shared" ref="AJ10:AJ15" si="16">12*AH10*D10</f>
        <v>383.90651410153112</v>
      </c>
      <c r="AK10" s="110">
        <f t="shared" ref="AK10:AK15" si="17">AI10*B10</f>
        <v>39.740719999999996</v>
      </c>
      <c r="AL10" s="109">
        <f t="shared" ref="AL10:AL15" si="18">AJ10+AK10</f>
        <v>423.64723410153113</v>
      </c>
      <c r="AM10" s="81">
        <f>'Peajes Circular CNMC'!$H$35</f>
        <v>0.14737</v>
      </c>
      <c r="AN10" s="109">
        <f t="shared" ref="AN10:AN15" si="19">B10*AM10</f>
        <v>67.348089999999999</v>
      </c>
      <c r="AO10" s="120">
        <f>'Peajes Actuales'!$U$30*$D$6*2</f>
        <v>1.5873015873015872</v>
      </c>
      <c r="AP10" s="109">
        <f t="shared" ref="AP10:AP15" si="20">AO10*B10</f>
        <v>725.39682539682531</v>
      </c>
      <c r="AQ10" s="111">
        <f>AL10+AN10+AP10</f>
        <v>1216.3921494983565</v>
      </c>
      <c r="AR10" s="74">
        <f t="shared" ref="AR10:AR15" si="21">AQ10/B10</f>
        <v>2.6616896050292267</v>
      </c>
      <c r="AT10" s="112">
        <f t="shared" ref="AT10:AT15" si="22">AE10-AQ10</f>
        <v>7492.1165301300225</v>
      </c>
      <c r="AU10" s="92">
        <f t="shared" ref="AU10:AU15" si="23">AT10/AE10</f>
        <v>0.86032141733476875</v>
      </c>
      <c r="AV10" s="179">
        <f>AF10-AR10</f>
        <v>16.394128074682762</v>
      </c>
    </row>
    <row r="11" spans="2:48">
      <c r="B11" s="97">
        <v>2234</v>
      </c>
      <c r="C11" s="99">
        <f>IF($C$5&lt;&gt;"Memoria CNMC",$C$5,IF(B11&gt;'Tipología Clientes'!$C$16,'Tipología Clientes'!$L$16,IF(B11&gt;'Tipología Clientes'!$C$15,'Tipología Clientes'!$L$15,IF(B11&gt;'Tipología Clientes'!$C$14,'Tipología Clientes'!$L$14,IF(B11&gt;'Tipología Clientes'!$C$13,'Tipología Clientes'!$L$13,IF(B11&gt;'Tipología Clientes'!$C$12,'Tipología Clientes'!$L$12,IF(B11&gt;'Tipología Clientes'!$C$11,'Tipología Clientes'!$L$11,IF(B11&gt;'Tipología Clientes'!$C$10,'Tipología Clientes'!$L$10,IF(B11&gt;'Tipología Clientes'!$C$9,'Tipología Clientes'!$L$9,IF(B11&gt;'Tipología Clientes'!$C$8,'Tipología Clientes'!$L$8,IF(B11&gt;'Tipología Clientes'!$C$7,'Tipología Clientes'!$L$7,'Tipología Clientes'!$L$6)))))))))))</f>
        <v>0.85</v>
      </c>
      <c r="D11" s="100">
        <f t="shared" si="0"/>
        <v>7.2006446414182115</v>
      </c>
      <c r="E11" s="71" t="s">
        <v>71</v>
      </c>
      <c r="F11" s="71" t="str">
        <f>IF(B11&gt;'Peajes Circular CNMC'!$C$23,'Peajes Circular CNMC'!$B$23,IF(B11&gt;'Peajes Circular CNMC'!$C$22,'Peajes Circular CNMC'!$B$22,IF(B11&gt;'Peajes Circular CNMC'!$C$21,'Peajes Circular CNMC'!$B$21,IF(B11&gt;'Peajes Circular CNMC'!$C$20,'Peajes Circular CNMC'!$B$20,IF(B11&gt;'Peajes Circular CNMC'!$C$19,'Peajes Circular CNMC'!$B$19,IF(B11&gt;'Peajes Circular CNMC'!$C$18,'Peajes Circular CNMC'!$B$18,IF(B11&gt;'Peajes Circular CNMC'!$C$17,'Peajes Circular CNMC'!$B$17,IF(B11&gt;'Peajes Circular CNMC'!$C$16,'Peajes Circular CNMC'!$B$16,IF(B11&gt;'Peajes Circular CNMC'!$C$15,'Peajes Circular CNMC'!$B$15,IF(B11&gt;'Peajes Circular CNMC'!$C$14,'Peajes Circular CNMC'!$B$14,'Peajes Circular CNMC'!$B$13))))))))))</f>
        <v>D.6</v>
      </c>
      <c r="G11" s="89">
        <f>'Peajes Circular CNMC'!$H$30</f>
        <v>25.224</v>
      </c>
      <c r="H11" s="81">
        <f>'Peajes Circular CNMC'!$I$30</f>
        <v>0.10178</v>
      </c>
      <c r="I11" s="110">
        <f t="shared" si="1"/>
        <v>2179.5487252215953</v>
      </c>
      <c r="J11" s="110">
        <f t="shared" si="2"/>
        <v>227.37652</v>
      </c>
      <c r="K11" s="109">
        <f t="shared" si="3"/>
        <v>2406.9252452215951</v>
      </c>
      <c r="L11" s="81">
        <f>'Peajes Circular CNMC'!$H$35</f>
        <v>0.14737</v>
      </c>
      <c r="M11" s="109">
        <f t="shared" si="4"/>
        <v>329.22458</v>
      </c>
      <c r="N11" s="90">
        <f>'Peajes Circular CNMC'!$J$6</f>
        <v>13.922499999999999</v>
      </c>
      <c r="O11" s="90">
        <f>'Peajes Circular CNMC'!$J$7</f>
        <v>2.5181930000000002E-2</v>
      </c>
      <c r="P11" s="110">
        <f t="shared" si="5"/>
        <v>1203.0117002417405</v>
      </c>
      <c r="Q11" s="110">
        <f t="shared" si="6"/>
        <v>56.256431620000001</v>
      </c>
      <c r="R11" s="109">
        <f t="shared" si="7"/>
        <v>1259.2681318617406</v>
      </c>
      <c r="S11" s="90">
        <f>'Peajes Circular CNMC'!$K$6</f>
        <v>8.5966666666666658</v>
      </c>
      <c r="T11" s="90">
        <f>'Peajes Circular CNMC'!$K$7</f>
        <v>2.5181930000000002E-2</v>
      </c>
      <c r="U11" s="110">
        <f t="shared" si="8"/>
        <v>742.81850120870263</v>
      </c>
      <c r="V11" s="110">
        <f t="shared" si="9"/>
        <v>56.256431620000001</v>
      </c>
      <c r="W11" s="109">
        <f t="shared" si="10"/>
        <v>799.07493282870269</v>
      </c>
      <c r="X11" s="91">
        <f>VLOOKUP(F11,'Peajes Circular CNMC'!$B$13:$J$23,7,FALSE)</f>
        <v>0</v>
      </c>
      <c r="Y11" s="80">
        <f>VLOOKUP(F11,'Peajes Circular CNMC'!$B$13:$J$23,8,FALSE)</f>
        <v>921.84</v>
      </c>
      <c r="Z11" s="80">
        <f>VLOOKUP(F11,'Peajes Circular CNMC'!$B$13:$J$23,9,FALSE)</f>
        <v>7.1639999999999997</v>
      </c>
      <c r="AA11" s="110">
        <f t="shared" si="11"/>
        <v>0</v>
      </c>
      <c r="AB11" s="110">
        <f t="shared" si="12"/>
        <v>11062.08</v>
      </c>
      <c r="AC11" s="110">
        <f t="shared" si="13"/>
        <v>16004.376</v>
      </c>
      <c r="AD11" s="109">
        <f t="shared" si="14"/>
        <v>27066.455999999998</v>
      </c>
      <c r="AE11" s="111">
        <f t="shared" ref="AE11:AE15" si="24">K11+M11+R11+W11+AD11</f>
        <v>31860.948889912037</v>
      </c>
      <c r="AF11" s="74">
        <f t="shared" si="15"/>
        <v>14.261839252422577</v>
      </c>
      <c r="AH11" s="89">
        <f>'Peajes Circular CNMC'!$H$42</f>
        <v>21.719000000000001</v>
      </c>
      <c r="AI11" s="81">
        <f>'Peajes Circular CNMC'!$I$42</f>
        <v>8.6959999999999996E-2</v>
      </c>
      <c r="AJ11" s="110">
        <f t="shared" si="16"/>
        <v>1876.6896116035459</v>
      </c>
      <c r="AK11" s="110">
        <f t="shared" si="17"/>
        <v>194.26863999999998</v>
      </c>
      <c r="AL11" s="109">
        <f t="shared" si="18"/>
        <v>2070.9582516035457</v>
      </c>
      <c r="AM11" s="81">
        <f>'Peajes Circular CNMC'!$H$35</f>
        <v>0.14737</v>
      </c>
      <c r="AN11" s="109">
        <f t="shared" si="19"/>
        <v>329.22458</v>
      </c>
      <c r="AO11" s="120">
        <f>'Peajes Actuales'!$U$30*$D$6*2</f>
        <v>1.5873015873015872</v>
      </c>
      <c r="AP11" s="109">
        <f t="shared" si="20"/>
        <v>3546.031746031746</v>
      </c>
      <c r="AQ11" s="111">
        <f t="shared" ref="AQ11:AQ15" si="25">AL11+AN11+AP11</f>
        <v>5946.2145776352918</v>
      </c>
      <c r="AR11" s="74">
        <f t="shared" si="21"/>
        <v>2.6616896050292262</v>
      </c>
      <c r="AT11" s="112">
        <f t="shared" si="22"/>
        <v>25914.734312276745</v>
      </c>
      <c r="AU11" s="92">
        <f t="shared" si="23"/>
        <v>0.8133698215272549</v>
      </c>
      <c r="AV11" s="179">
        <f t="shared" ref="AV11:AV15" si="26">AF11-AR11</f>
        <v>11.600149647393351</v>
      </c>
    </row>
    <row r="12" spans="2:48">
      <c r="B12" s="97">
        <v>12157</v>
      </c>
      <c r="C12" s="99">
        <f>IF($C$5&lt;&gt;"Memoria CNMC",$C$5,IF(B12&gt;'Tipología Clientes'!$C$16,'Tipología Clientes'!$L$16,IF(B12&gt;'Tipología Clientes'!$C$15,'Tipología Clientes'!$L$15,IF(B12&gt;'Tipología Clientes'!$C$14,'Tipología Clientes'!$L$14,IF(B12&gt;'Tipología Clientes'!$C$13,'Tipología Clientes'!$L$13,IF(B12&gt;'Tipología Clientes'!$C$12,'Tipología Clientes'!$L$12,IF(B12&gt;'Tipología Clientes'!$C$11,'Tipología Clientes'!$L$11,IF(B12&gt;'Tipología Clientes'!$C$10,'Tipología Clientes'!$L$10,IF(B12&gt;'Tipología Clientes'!$C$9,'Tipología Clientes'!$L$9,IF(B12&gt;'Tipología Clientes'!$C$8,'Tipología Clientes'!$L$8,IF(B12&gt;'Tipología Clientes'!$C$7,'Tipología Clientes'!$L$7,'Tipología Clientes'!$L$6)))))))))))</f>
        <v>0.85</v>
      </c>
      <c r="D12" s="100">
        <f t="shared" si="0"/>
        <v>39.184528605962932</v>
      </c>
      <c r="E12" s="71" t="s">
        <v>72</v>
      </c>
      <c r="F12" s="71" t="str">
        <f>IF(B12&gt;'Peajes Circular CNMC'!$C$23,'Peajes Circular CNMC'!$B$23,IF(B12&gt;'Peajes Circular CNMC'!$C$22,'Peajes Circular CNMC'!$B$22,IF(B12&gt;'Peajes Circular CNMC'!$C$21,'Peajes Circular CNMC'!$B$21,IF(B12&gt;'Peajes Circular CNMC'!$C$20,'Peajes Circular CNMC'!$B$20,IF(B12&gt;'Peajes Circular CNMC'!$C$19,'Peajes Circular CNMC'!$B$19,IF(B12&gt;'Peajes Circular CNMC'!$C$18,'Peajes Circular CNMC'!$B$18,IF(B12&gt;'Peajes Circular CNMC'!$C$17,'Peajes Circular CNMC'!$B$17,IF(B12&gt;'Peajes Circular CNMC'!$C$16,'Peajes Circular CNMC'!$B$16,IF(B12&gt;'Peajes Circular CNMC'!$C$15,'Peajes Circular CNMC'!$B$15,IF(B12&gt;'Peajes Circular CNMC'!$C$14,'Peajes Circular CNMC'!$B$14,'Peajes Circular CNMC'!$B$13))))))))))</f>
        <v>D.7</v>
      </c>
      <c r="G12" s="89">
        <f>'Peajes Circular CNMC'!$H$30</f>
        <v>25.224</v>
      </c>
      <c r="H12" s="81">
        <f>'Peajes Circular CNMC'!$I$30</f>
        <v>0.10178</v>
      </c>
      <c r="I12" s="110">
        <f t="shared" si="1"/>
        <v>11860.686594681707</v>
      </c>
      <c r="J12" s="110">
        <f t="shared" si="2"/>
        <v>1237.3394599999999</v>
      </c>
      <c r="K12" s="109">
        <f t="shared" si="3"/>
        <v>13098.026054681706</v>
      </c>
      <c r="L12" s="81">
        <f>'Peajes Circular CNMC'!$H$35</f>
        <v>0.14737</v>
      </c>
      <c r="M12" s="109">
        <f t="shared" si="4"/>
        <v>1791.57709</v>
      </c>
      <c r="N12" s="90">
        <f>'Peajes Circular CNMC'!$J$6</f>
        <v>13.922499999999999</v>
      </c>
      <c r="O12" s="90">
        <f>'Peajes Circular CNMC'!$J$7</f>
        <v>2.5181930000000002E-2</v>
      </c>
      <c r="P12" s="110">
        <f t="shared" si="5"/>
        <v>6546.5591941982266</v>
      </c>
      <c r="Q12" s="110">
        <f t="shared" si="6"/>
        <v>306.13672301000003</v>
      </c>
      <c r="R12" s="109">
        <f t="shared" si="7"/>
        <v>6852.695917208227</v>
      </c>
      <c r="S12" s="90">
        <f>'Peajes Circular CNMC'!$K$6</f>
        <v>8.5966666666666658</v>
      </c>
      <c r="T12" s="90">
        <f>'Peajes Circular CNMC'!$K$7</f>
        <v>2.5181930000000002E-2</v>
      </c>
      <c r="U12" s="110">
        <f t="shared" si="8"/>
        <v>4042.2759709911361</v>
      </c>
      <c r="V12" s="110">
        <f t="shared" si="9"/>
        <v>306.13672301000003</v>
      </c>
      <c r="W12" s="109">
        <f t="shared" si="10"/>
        <v>4348.4126940011365</v>
      </c>
      <c r="X12" s="91">
        <f>VLOOKUP(F12,'Peajes Circular CNMC'!$B$13:$J$23,7,FALSE)</f>
        <v>70.858333333333334</v>
      </c>
      <c r="Y12" s="80">
        <f>VLOOKUP(F12,'Peajes Circular CNMC'!$B$13:$J$23,8,FALSE)</f>
        <v>0</v>
      </c>
      <c r="Z12" s="80">
        <f>VLOOKUP(F12,'Peajes Circular CNMC'!$B$13:$J$23,9,FALSE)</f>
        <v>0.83020000000000005</v>
      </c>
      <c r="AA12" s="110">
        <f t="shared" si="11"/>
        <v>33318.604673650276</v>
      </c>
      <c r="AB12" s="110">
        <f t="shared" si="12"/>
        <v>0</v>
      </c>
      <c r="AC12" s="110">
        <f t="shared" si="13"/>
        <v>10092.741400000001</v>
      </c>
      <c r="AD12" s="109">
        <f t="shared" si="14"/>
        <v>43411.346073650275</v>
      </c>
      <c r="AE12" s="111">
        <f t="shared" si="24"/>
        <v>69502.057829541343</v>
      </c>
      <c r="AF12" s="74">
        <f t="shared" si="15"/>
        <v>5.7170402097179682</v>
      </c>
      <c r="AH12" s="89">
        <f>'Peajes Circular CNMC'!$H$42</f>
        <v>21.719000000000001</v>
      </c>
      <c r="AI12" s="81">
        <f>'Peajes Circular CNMC'!$I$42</f>
        <v>8.6959999999999996E-2</v>
      </c>
      <c r="AJ12" s="110">
        <f t="shared" si="16"/>
        <v>10212.585321514909</v>
      </c>
      <c r="AK12" s="110">
        <f t="shared" si="17"/>
        <v>1057.17272</v>
      </c>
      <c r="AL12" s="109">
        <f t="shared" si="18"/>
        <v>11269.75804151491</v>
      </c>
      <c r="AM12" s="81">
        <f>'Peajes Circular CNMC'!$H$35</f>
        <v>0.14737</v>
      </c>
      <c r="AN12" s="109">
        <f t="shared" si="19"/>
        <v>1791.57709</v>
      </c>
      <c r="AO12" s="120">
        <f>'Peajes Actuales'!$U$30*$D$6*2</f>
        <v>1.5873015873015872</v>
      </c>
      <c r="AP12" s="109">
        <f t="shared" si="20"/>
        <v>19296.825396825396</v>
      </c>
      <c r="AQ12" s="111">
        <f t="shared" si="25"/>
        <v>32358.160528340304</v>
      </c>
      <c r="AR12" s="74">
        <f t="shared" si="21"/>
        <v>2.6616896050292262</v>
      </c>
      <c r="AT12" s="112">
        <f t="shared" si="22"/>
        <v>37143.897301201039</v>
      </c>
      <c r="AU12" s="92">
        <f t="shared" si="23"/>
        <v>0.53442874155322195</v>
      </c>
      <c r="AV12" s="179">
        <f t="shared" si="26"/>
        <v>3.055350604688742</v>
      </c>
    </row>
    <row r="13" spans="2:48">
      <c r="B13" s="97">
        <v>49046</v>
      </c>
      <c r="C13" s="99">
        <f>IF($C$5&lt;&gt;"Memoria CNMC",$C$5,IF(B13&gt;'Tipología Clientes'!$C$16,'Tipología Clientes'!$L$16,IF(B13&gt;'Tipología Clientes'!$C$15,'Tipología Clientes'!$L$15,IF(B13&gt;'Tipología Clientes'!$C$14,'Tipología Clientes'!$L$14,IF(B13&gt;'Tipología Clientes'!$C$13,'Tipología Clientes'!$L$13,IF(B13&gt;'Tipología Clientes'!$C$12,'Tipología Clientes'!$L$12,IF(B13&gt;'Tipología Clientes'!$C$11,'Tipología Clientes'!$L$11,IF(B13&gt;'Tipología Clientes'!$C$10,'Tipología Clientes'!$L$10,IF(B13&gt;'Tipología Clientes'!$C$9,'Tipología Clientes'!$L$9,IF(B13&gt;'Tipología Clientes'!$C$8,'Tipología Clientes'!$L$8,IF(B13&gt;'Tipología Clientes'!$C$7,'Tipología Clientes'!$L$7,'Tipología Clientes'!$L$6)))))))))))</f>
        <v>0.85</v>
      </c>
      <c r="D13" s="100">
        <f t="shared" si="0"/>
        <v>158.085414987913</v>
      </c>
      <c r="E13" s="71" t="s">
        <v>73</v>
      </c>
      <c r="F13" s="71" t="str">
        <f>IF(B13&gt;'Peajes Circular CNMC'!$C$23,'Peajes Circular CNMC'!$B$23,IF(B13&gt;'Peajes Circular CNMC'!$C$22,'Peajes Circular CNMC'!$B$22,IF(B13&gt;'Peajes Circular CNMC'!$C$21,'Peajes Circular CNMC'!$B$21,IF(B13&gt;'Peajes Circular CNMC'!$C$20,'Peajes Circular CNMC'!$B$20,IF(B13&gt;'Peajes Circular CNMC'!$C$19,'Peajes Circular CNMC'!$B$19,IF(B13&gt;'Peajes Circular CNMC'!$C$18,'Peajes Circular CNMC'!$B$18,IF(B13&gt;'Peajes Circular CNMC'!$C$17,'Peajes Circular CNMC'!$B$17,IF(B13&gt;'Peajes Circular CNMC'!$C$16,'Peajes Circular CNMC'!$B$16,IF(B13&gt;'Peajes Circular CNMC'!$C$15,'Peajes Circular CNMC'!$B$15,IF(B13&gt;'Peajes Circular CNMC'!$C$14,'Peajes Circular CNMC'!$B$14,'Peajes Circular CNMC'!$B$13))))))))))</f>
        <v>D.8</v>
      </c>
      <c r="G13" s="89">
        <f>'Peajes Circular CNMC'!$H$30</f>
        <v>25.224</v>
      </c>
      <c r="H13" s="81">
        <f>'Peajes Circular CNMC'!$I$30</f>
        <v>0.10178</v>
      </c>
      <c r="I13" s="110">
        <f t="shared" si="1"/>
        <v>47850.558091861407</v>
      </c>
      <c r="J13" s="110">
        <f t="shared" si="2"/>
        <v>4991.9018799999994</v>
      </c>
      <c r="K13" s="109">
        <f t="shared" si="3"/>
        <v>52842.459971861404</v>
      </c>
      <c r="L13" s="81">
        <f>'Peajes Circular CNMC'!$H$35</f>
        <v>0.14737</v>
      </c>
      <c r="M13" s="109">
        <f t="shared" si="4"/>
        <v>7227.9090200000001</v>
      </c>
      <c r="N13" s="90">
        <f>'Peajes Circular CNMC'!$J$6</f>
        <v>13.922499999999999</v>
      </c>
      <c r="O13" s="90">
        <f>'Peajes Circular CNMC'!$J$7</f>
        <v>2.5181930000000002E-2</v>
      </c>
      <c r="P13" s="110">
        <f t="shared" si="5"/>
        <v>26411.330282030623</v>
      </c>
      <c r="Q13" s="110">
        <f t="shared" si="6"/>
        <v>1235.0729387800002</v>
      </c>
      <c r="R13" s="109">
        <f t="shared" si="7"/>
        <v>27646.403220810622</v>
      </c>
      <c r="S13" s="90">
        <f>'Peajes Circular CNMC'!$K$6</f>
        <v>8.5966666666666658</v>
      </c>
      <c r="T13" s="90">
        <f>'Peajes Circular CNMC'!$K$7</f>
        <v>2.5181930000000002E-2</v>
      </c>
      <c r="U13" s="110">
        <f t="shared" si="8"/>
        <v>16308.091410153103</v>
      </c>
      <c r="V13" s="110">
        <f t="shared" si="9"/>
        <v>1235.0729387800002</v>
      </c>
      <c r="W13" s="109">
        <f t="shared" si="10"/>
        <v>17543.164348933104</v>
      </c>
      <c r="X13" s="91">
        <f>VLOOKUP(F13,'Peajes Circular CNMC'!$B$13:$J$23,7,FALSE)</f>
        <v>34.093333333333334</v>
      </c>
      <c r="Y13" s="80">
        <f>VLOOKUP(F13,'Peajes Circular CNMC'!$B$13:$J$23,8,FALSE)</f>
        <v>0</v>
      </c>
      <c r="Z13" s="80">
        <f>VLOOKUP(F13,'Peajes Circular CNMC'!$B$13:$J$23,9,FALSE)</f>
        <v>0.52300000000000002</v>
      </c>
      <c r="AA13" s="110">
        <f t="shared" si="11"/>
        <v>64675.904979854968</v>
      </c>
      <c r="AB13" s="110">
        <f t="shared" si="12"/>
        <v>0</v>
      </c>
      <c r="AC13" s="110">
        <f t="shared" si="13"/>
        <v>25651.058000000001</v>
      </c>
      <c r="AD13" s="109">
        <f t="shared" si="14"/>
        <v>90326.962979854972</v>
      </c>
      <c r="AE13" s="111">
        <f t="shared" si="24"/>
        <v>195586.89954146009</v>
      </c>
      <c r="AF13" s="74">
        <f t="shared" si="15"/>
        <v>3.9878257052860597</v>
      </c>
      <c r="AH13" s="89">
        <f>'Peajes Circular CNMC'!$H$42</f>
        <v>21.719000000000001</v>
      </c>
      <c r="AI13" s="81">
        <f>'Peajes Circular CNMC'!$I$42</f>
        <v>8.6959999999999996E-2</v>
      </c>
      <c r="AJ13" s="110">
        <f t="shared" si="16"/>
        <v>41201.485537469795</v>
      </c>
      <c r="AK13" s="110">
        <f t="shared" si="17"/>
        <v>4265.0401599999996</v>
      </c>
      <c r="AL13" s="109">
        <f t="shared" si="18"/>
        <v>45466.525697469791</v>
      </c>
      <c r="AM13" s="81">
        <f>'Peajes Circular CNMC'!$H$35</f>
        <v>0.14737</v>
      </c>
      <c r="AN13" s="109">
        <f t="shared" si="19"/>
        <v>7227.9090200000001</v>
      </c>
      <c r="AO13" s="120">
        <f>'Peajes Actuales'!$U$30*$D$6*2</f>
        <v>1.5873015873015872</v>
      </c>
      <c r="AP13" s="109">
        <f t="shared" si="20"/>
        <v>77850.793650793639</v>
      </c>
      <c r="AQ13" s="111">
        <f t="shared" si="25"/>
        <v>130545.22836826343</v>
      </c>
      <c r="AR13" s="74">
        <f t="shared" si="21"/>
        <v>2.6616896050292262</v>
      </c>
      <c r="AT13" s="112">
        <f t="shared" si="22"/>
        <v>65041.671173196664</v>
      </c>
      <c r="AU13" s="92">
        <f t="shared" si="23"/>
        <v>0.33254615378474911</v>
      </c>
      <c r="AV13" s="179">
        <f t="shared" si="26"/>
        <v>1.3261361002568335</v>
      </c>
    </row>
    <row r="14" spans="2:48">
      <c r="B14" s="97">
        <v>206507</v>
      </c>
      <c r="C14" s="99">
        <f>IF($C$5&lt;&gt;"Memoria CNMC",$C$5,IF(B14&gt;'Tipología Clientes'!$C$16,'Tipología Clientes'!$L$16,IF(B14&gt;'Tipología Clientes'!$C$15,'Tipología Clientes'!$L$15,IF(B14&gt;'Tipología Clientes'!$C$14,'Tipología Clientes'!$L$14,IF(B14&gt;'Tipología Clientes'!$C$13,'Tipología Clientes'!$L$13,IF(B14&gt;'Tipología Clientes'!$C$12,'Tipología Clientes'!$L$12,IF(B14&gt;'Tipología Clientes'!$C$11,'Tipología Clientes'!$L$11,IF(B14&gt;'Tipología Clientes'!$C$10,'Tipología Clientes'!$L$10,IF(B14&gt;'Tipología Clientes'!$C$9,'Tipología Clientes'!$L$9,IF(B14&gt;'Tipología Clientes'!$C$8,'Tipología Clientes'!$L$8,IF(B14&gt;'Tipología Clientes'!$C$7,'Tipología Clientes'!$L$7,'Tipología Clientes'!$L$6)))))))))))</f>
        <v>0.85</v>
      </c>
      <c r="D14" s="100">
        <f t="shared" si="0"/>
        <v>665.61482675261891</v>
      </c>
      <c r="E14" s="71" t="s">
        <v>74</v>
      </c>
      <c r="F14" s="71" t="str">
        <f>IF(B14&gt;'Peajes Circular CNMC'!$C$23,'Peajes Circular CNMC'!$B$23,IF(B14&gt;'Peajes Circular CNMC'!$C$22,'Peajes Circular CNMC'!$B$22,IF(B14&gt;'Peajes Circular CNMC'!$C$21,'Peajes Circular CNMC'!$B$21,IF(B14&gt;'Peajes Circular CNMC'!$C$20,'Peajes Circular CNMC'!$B$20,IF(B14&gt;'Peajes Circular CNMC'!$C$19,'Peajes Circular CNMC'!$B$19,IF(B14&gt;'Peajes Circular CNMC'!$C$18,'Peajes Circular CNMC'!$B$18,IF(B14&gt;'Peajes Circular CNMC'!$C$17,'Peajes Circular CNMC'!$B$17,IF(B14&gt;'Peajes Circular CNMC'!$C$16,'Peajes Circular CNMC'!$B$16,IF(B14&gt;'Peajes Circular CNMC'!$C$15,'Peajes Circular CNMC'!$B$15,IF(B14&gt;'Peajes Circular CNMC'!$C$14,'Peajes Circular CNMC'!$B$14,'Peajes Circular CNMC'!$B$13))))))))))</f>
        <v>D.10</v>
      </c>
      <c r="G14" s="89">
        <f>'Peajes Circular CNMC'!$H$30</f>
        <v>25.224</v>
      </c>
      <c r="H14" s="81">
        <f>'Peajes Circular CNMC'!$I$30</f>
        <v>0.10178</v>
      </c>
      <c r="I14" s="110">
        <f t="shared" si="1"/>
        <v>201473.6206800967</v>
      </c>
      <c r="J14" s="110">
        <f t="shared" si="2"/>
        <v>21018.282459999999</v>
      </c>
      <c r="K14" s="109">
        <f t="shared" si="3"/>
        <v>222491.90314009669</v>
      </c>
      <c r="L14" s="81">
        <f>'Peajes Circular CNMC'!$H$35</f>
        <v>0.14737</v>
      </c>
      <c r="M14" s="109">
        <f t="shared" si="4"/>
        <v>30432.936590000001</v>
      </c>
      <c r="N14" s="90">
        <f>'Peajes Circular CNMC'!$J$6</f>
        <v>13.922499999999999</v>
      </c>
      <c r="O14" s="90">
        <f>'Peajes Circular CNMC'!$J$7</f>
        <v>2.5181930000000002E-2</v>
      </c>
      <c r="P14" s="110">
        <f t="shared" si="5"/>
        <v>111204.26910556003</v>
      </c>
      <c r="Q14" s="110">
        <f t="shared" si="6"/>
        <v>5200.2448185100002</v>
      </c>
      <c r="R14" s="109">
        <f t="shared" si="7"/>
        <v>116404.51392407002</v>
      </c>
      <c r="S14" s="90">
        <f>'Peajes Circular CNMC'!$K$6</f>
        <v>8.5966666666666658</v>
      </c>
      <c r="T14" s="90">
        <f>'Peajes Circular CNMC'!$K$7</f>
        <v>2.5181930000000002E-2</v>
      </c>
      <c r="U14" s="110">
        <f t="shared" si="8"/>
        <v>68664.82552780016</v>
      </c>
      <c r="V14" s="110">
        <f t="shared" si="9"/>
        <v>5200.2448185100002</v>
      </c>
      <c r="W14" s="109">
        <f t="shared" si="10"/>
        <v>73865.070346310153</v>
      </c>
      <c r="X14" s="91">
        <f>VLOOKUP(F14,'Peajes Circular CNMC'!$B$13:$J$23,7,FALSE)</f>
        <v>10.894166666666669</v>
      </c>
      <c r="Y14" s="80">
        <f>VLOOKUP(F14,'Peajes Circular CNMC'!$B$13:$J$23,8,FALSE)</f>
        <v>0</v>
      </c>
      <c r="Z14" s="80">
        <f>VLOOKUP(F14,'Peajes Circular CNMC'!$B$13:$J$23,9,FALSE)</f>
        <v>0.27800000000000002</v>
      </c>
      <c r="AA14" s="110">
        <f t="shared" si="11"/>
        <v>87015.826301369889</v>
      </c>
      <c r="AB14" s="110">
        <f t="shared" si="12"/>
        <v>0</v>
      </c>
      <c r="AC14" s="110">
        <f t="shared" si="13"/>
        <v>57408.946000000004</v>
      </c>
      <c r="AD14" s="109">
        <f t="shared" si="14"/>
        <v>144424.7723013699</v>
      </c>
      <c r="AE14" s="111">
        <f t="shared" si="24"/>
        <v>587619.19630184676</v>
      </c>
      <c r="AF14" s="74">
        <f t="shared" si="15"/>
        <v>2.8455170832070911</v>
      </c>
      <c r="AH14" s="89">
        <f>'Peajes Circular CNMC'!$H$42</f>
        <v>21.719000000000001</v>
      </c>
      <c r="AI14" s="81">
        <f>'Peajes Circular CNMC'!$I$42</f>
        <v>8.6959999999999996E-2</v>
      </c>
      <c r="AJ14" s="110">
        <f t="shared" si="16"/>
        <v>173477.8610668816</v>
      </c>
      <c r="AK14" s="110">
        <f t="shared" si="17"/>
        <v>17957.848719999998</v>
      </c>
      <c r="AL14" s="109">
        <f t="shared" si="18"/>
        <v>191435.70978688161</v>
      </c>
      <c r="AM14" s="81">
        <f>'Peajes Circular CNMC'!$H$35</f>
        <v>0.14737</v>
      </c>
      <c r="AN14" s="109">
        <f t="shared" si="19"/>
        <v>30432.936590000001</v>
      </c>
      <c r="AO14" s="120">
        <f>'Peajes Actuales'!$U$30*$D$6*2</f>
        <v>1.5873015873015872</v>
      </c>
      <c r="AP14" s="109">
        <f t="shared" si="20"/>
        <v>327788.88888888888</v>
      </c>
      <c r="AQ14" s="111">
        <f t="shared" si="25"/>
        <v>549657.53526577051</v>
      </c>
      <c r="AR14" s="74">
        <f t="shared" si="21"/>
        <v>2.6616896050292267</v>
      </c>
      <c r="AT14" s="112">
        <f t="shared" si="22"/>
        <v>37961.661036076257</v>
      </c>
      <c r="AU14" s="92">
        <f t="shared" si="23"/>
        <v>6.4602486227451641E-2</v>
      </c>
      <c r="AV14" s="179">
        <f t="shared" si="26"/>
        <v>0.18382747817786438</v>
      </c>
    </row>
    <row r="15" spans="2:48">
      <c r="B15" s="97">
        <v>1144703</v>
      </c>
      <c r="C15" s="99">
        <f>IF($C$5&lt;&gt;"Memoria CNMC",$C$5,IF(B15&gt;'Tipología Clientes'!$C$16,'Tipología Clientes'!$L$16,IF(B15&gt;'Tipología Clientes'!$C$15,'Tipología Clientes'!$L$15,IF(B15&gt;'Tipología Clientes'!$C$14,'Tipología Clientes'!$L$14,IF(B15&gt;'Tipología Clientes'!$C$13,'Tipología Clientes'!$L$13,IF(B15&gt;'Tipología Clientes'!$C$12,'Tipología Clientes'!$L$12,IF(B15&gt;'Tipología Clientes'!$C$11,'Tipología Clientes'!$L$11,IF(B15&gt;'Tipología Clientes'!$C$10,'Tipología Clientes'!$L$10,IF(B15&gt;'Tipología Clientes'!$C$9,'Tipología Clientes'!$L$9,IF(B15&gt;'Tipología Clientes'!$C$8,'Tipología Clientes'!$L$8,IF(B15&gt;'Tipología Clientes'!$C$7,'Tipología Clientes'!$L$7,'Tipología Clientes'!$L$6)))))))))))</f>
        <v>0.85</v>
      </c>
      <c r="D15" s="100">
        <f t="shared" si="0"/>
        <v>3689.6148267526191</v>
      </c>
      <c r="E15" s="71" t="s">
        <v>75</v>
      </c>
      <c r="F15" s="71" t="str">
        <f>IF(B15&gt;'Peajes Circular CNMC'!$C$23,'Peajes Circular CNMC'!$B$23,IF(B15&gt;'Peajes Circular CNMC'!$C$22,'Peajes Circular CNMC'!$B$22,IF(B15&gt;'Peajes Circular CNMC'!$C$21,'Peajes Circular CNMC'!$B$21,IF(B15&gt;'Peajes Circular CNMC'!$C$20,'Peajes Circular CNMC'!$B$20,IF(B15&gt;'Peajes Circular CNMC'!$C$19,'Peajes Circular CNMC'!$B$19,IF(B15&gt;'Peajes Circular CNMC'!$C$18,'Peajes Circular CNMC'!$B$18,IF(B15&gt;'Peajes Circular CNMC'!$C$17,'Peajes Circular CNMC'!$B$17,IF(B15&gt;'Peajes Circular CNMC'!$C$16,'Peajes Circular CNMC'!$B$16,IF(B15&gt;'Peajes Circular CNMC'!$C$15,'Peajes Circular CNMC'!$B$15,IF(B15&gt;'Peajes Circular CNMC'!$C$14,'Peajes Circular CNMC'!$B$14,'Peajes Circular CNMC'!$B$13))))))))))</f>
        <v>D.11</v>
      </c>
      <c r="G15" s="89">
        <f>'Peajes Circular CNMC'!$H$30</f>
        <v>25.224</v>
      </c>
      <c r="H15" s="81">
        <f>'Peajes Circular CNMC'!$I$30</f>
        <v>0.10178</v>
      </c>
      <c r="I15" s="110">
        <f t="shared" si="1"/>
        <v>1116802.1326800967</v>
      </c>
      <c r="J15" s="110">
        <f t="shared" si="2"/>
        <v>116507.87134</v>
      </c>
      <c r="K15" s="109">
        <f t="shared" si="3"/>
        <v>1233310.0040200967</v>
      </c>
      <c r="L15" s="81">
        <f>'Peajes Circular CNMC'!$H$35</f>
        <v>0.14737</v>
      </c>
      <c r="M15" s="109">
        <f t="shared" si="4"/>
        <v>168694.88110999999</v>
      </c>
      <c r="N15" s="90">
        <f>'Peajes Circular CNMC'!$J$6</f>
        <v>13.922499999999999</v>
      </c>
      <c r="O15" s="90">
        <f>'Peajes Circular CNMC'!$J$7</f>
        <v>2.5181930000000002E-2</v>
      </c>
      <c r="P15" s="110">
        <f t="shared" si="5"/>
        <v>616423.94910556008</v>
      </c>
      <c r="Q15" s="110">
        <f t="shared" si="6"/>
        <v>28825.830816790003</v>
      </c>
      <c r="R15" s="109">
        <f t="shared" si="7"/>
        <v>645249.77992235008</v>
      </c>
      <c r="S15" s="90">
        <f>'Peajes Circular CNMC'!$K$6</f>
        <v>8.5966666666666658</v>
      </c>
      <c r="T15" s="90">
        <f>'Peajes Circular CNMC'!$K$7</f>
        <v>2.5181930000000002E-2</v>
      </c>
      <c r="U15" s="110">
        <f t="shared" si="8"/>
        <v>380620.66552780016</v>
      </c>
      <c r="V15" s="110">
        <f t="shared" si="9"/>
        <v>28825.830816790003</v>
      </c>
      <c r="W15" s="109">
        <f t="shared" si="10"/>
        <v>409446.49634459015</v>
      </c>
      <c r="X15" s="91">
        <f>VLOOKUP(F15,'Peajes Circular CNMC'!$B$13:$J$23,7,FALSE)</f>
        <v>6.9858333333333329</v>
      </c>
      <c r="Y15" s="80">
        <f>VLOOKUP(F15,'Peajes Circular CNMC'!$B$13:$J$23,8,FALSE)</f>
        <v>0</v>
      </c>
      <c r="Z15" s="80">
        <f>VLOOKUP(F15,'Peajes Circular CNMC'!$B$13:$J$23,9,FALSE)</f>
        <v>6.5699999999999995E-2</v>
      </c>
      <c r="AA15" s="110">
        <f t="shared" si="11"/>
        <v>309300.41092667205</v>
      </c>
      <c r="AB15" s="110">
        <f t="shared" si="12"/>
        <v>0</v>
      </c>
      <c r="AC15" s="110">
        <f t="shared" si="13"/>
        <v>75206.987099999998</v>
      </c>
      <c r="AD15" s="109">
        <f t="shared" si="14"/>
        <v>384507.39802667208</v>
      </c>
      <c r="AE15" s="111">
        <f t="shared" si="24"/>
        <v>2841208.5594237093</v>
      </c>
      <c r="AF15" s="74">
        <f t="shared" si="15"/>
        <v>2.4820486706365839</v>
      </c>
      <c r="AH15" s="89">
        <f>'Peajes Circular CNMC'!$H$42</f>
        <v>21.719000000000001</v>
      </c>
      <c r="AI15" s="81">
        <f>'Peajes Circular CNMC'!$I$42</f>
        <v>8.6959999999999996E-2</v>
      </c>
      <c r="AJ15" s="110">
        <f t="shared" si="16"/>
        <v>961616.93306688173</v>
      </c>
      <c r="AK15" s="110">
        <f t="shared" si="17"/>
        <v>99543.372879999995</v>
      </c>
      <c r="AL15" s="109">
        <f t="shared" si="18"/>
        <v>1061160.3059468817</v>
      </c>
      <c r="AM15" s="81">
        <f>'Peajes Circular CNMC'!$H$35</f>
        <v>0.14737</v>
      </c>
      <c r="AN15" s="109">
        <f t="shared" si="19"/>
        <v>168694.88110999999</v>
      </c>
      <c r="AO15" s="120">
        <f>'Peajes Actuales'!$U$30*$D$6*2</f>
        <v>1.5873015873015872</v>
      </c>
      <c r="AP15" s="109">
        <f t="shared" si="20"/>
        <v>1816988.8888888888</v>
      </c>
      <c r="AQ15" s="111">
        <f t="shared" si="25"/>
        <v>3046844.0759457704</v>
      </c>
      <c r="AR15" s="74">
        <f t="shared" si="21"/>
        <v>2.6616896050292262</v>
      </c>
      <c r="AT15" s="112">
        <f t="shared" si="22"/>
        <v>-205635.51652206108</v>
      </c>
      <c r="AU15" s="92">
        <f t="shared" si="23"/>
        <v>-7.2376072442837752E-2</v>
      </c>
      <c r="AV15" s="179">
        <f t="shared" si="26"/>
        <v>-0.17964093439264239</v>
      </c>
    </row>
  </sheetData>
  <mergeCells count="16">
    <mergeCell ref="AT8:AU8"/>
    <mergeCell ref="C5:D5"/>
    <mergeCell ref="G6:AF6"/>
    <mergeCell ref="AH6:AR6"/>
    <mergeCell ref="G7:K7"/>
    <mergeCell ref="L7:M7"/>
    <mergeCell ref="N7:R7"/>
    <mergeCell ref="S7:W7"/>
    <mergeCell ref="X7:AD7"/>
    <mergeCell ref="AE7:AF7"/>
    <mergeCell ref="AH7:AL7"/>
    <mergeCell ref="AM7:AN7"/>
    <mergeCell ref="AO7:AP7"/>
    <mergeCell ref="AQ7:AR7"/>
    <mergeCell ref="AE8:AF8"/>
    <mergeCell ref="AQ8:AR8"/>
  </mergeCells>
  <conditionalFormatting sqref="AT10:AU15">
    <cfRule type="cellIs" dxfId="3" priority="10" operator="greaterThan">
      <formula>0</formula>
    </cfRule>
  </conditionalFormatting>
  <conditionalFormatting sqref="AT10:AU15">
    <cfRule type="cellIs" dxfId="2" priority="8" operator="lessThan">
      <formula>0</formula>
    </cfRule>
  </conditionalFormatting>
  <conditionalFormatting sqref="AV10:AV15">
    <cfRule type="cellIs" dxfId="1" priority="2" operator="greaterThan">
      <formula>0</formula>
    </cfRule>
  </conditionalFormatting>
  <conditionalFormatting sqref="AV10:AV15">
    <cfRule type="cellIs" dxfId="0" priority="1" operator="lessThan">
      <formula>0</formula>
    </cfRule>
  </conditionalFormatting>
  <dataValidations count="1">
    <dataValidation type="list" allowBlank="1" showInputMessage="1" showErrorMessage="1" sqref="C5">
      <mc:AlternateContent xmlns:x12ac="http://schemas.microsoft.com/office/spreadsheetml/2011/1/ac" xmlns:mc="http://schemas.openxmlformats.org/markup-compatibility/2006">
        <mc:Choice Requires="x12ac">
          <x12ac:list>Memoria CNMC,"0,80","0,85","0,90"</x12ac:list>
        </mc:Choice>
        <mc:Fallback>
          <formula1>"Memoria CNMC,0,80,0,85,0,90"</formula1>
        </mc:Fallback>
      </mc:AlternateContent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r:id="rId1"/>
  <headerFooter>
    <oddHeader>&amp;LANEXO II: CÁLCULO DEL EFECTO DE LA EVOLUCIÓN DE LOS PEAJES EN EL PERIODO 2020-2026&amp;R&amp;A</oddHead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36"/>
  <sheetViews>
    <sheetView showGridLines="0" topLeftCell="A7" workbookViewId="0">
      <selection activeCell="I44" sqref="I44"/>
    </sheetView>
  </sheetViews>
  <sheetFormatPr baseColWidth="10" defaultRowHeight="16.5"/>
  <cols>
    <col min="1" max="1" width="4.42578125" customWidth="1"/>
    <col min="2" max="2" width="8.28515625" customWidth="1"/>
    <col min="3" max="3" width="10.85546875" bestFit="1" customWidth="1"/>
    <col min="4" max="4" width="2" bestFit="1" customWidth="1"/>
    <col min="5" max="5" width="2.28515625" bestFit="1" customWidth="1"/>
    <col min="6" max="6" width="2.140625" bestFit="1" customWidth="1"/>
    <col min="7" max="7" width="10.85546875" bestFit="1" customWidth="1"/>
    <col min="8" max="8" width="13.5703125" bestFit="1" customWidth="1"/>
    <col min="9" max="9" width="15" bestFit="1" customWidth="1"/>
    <col min="10" max="10" width="12.42578125" bestFit="1" customWidth="1"/>
    <col min="11" max="11" width="1.85546875" customWidth="1"/>
    <col min="12" max="12" width="13.140625" customWidth="1"/>
    <col min="13" max="13" width="4.42578125" customWidth="1"/>
    <col min="15" max="15" width="12.85546875" bestFit="1" customWidth="1"/>
  </cols>
  <sheetData>
    <row r="2" spans="2:17">
      <c r="B2" s="2" t="s">
        <v>77</v>
      </c>
    </row>
    <row r="3" spans="2:17">
      <c r="I3" s="23" t="s">
        <v>49</v>
      </c>
    </row>
    <row r="4" spans="2:17">
      <c r="I4" s="4" t="s">
        <v>58</v>
      </c>
    </row>
    <row r="5" spans="2:17">
      <c r="I5" s="26">
        <v>10.848000000000001</v>
      </c>
    </row>
    <row r="7" spans="2:17">
      <c r="B7" s="2" t="s">
        <v>76</v>
      </c>
    </row>
    <row r="8" spans="2:17">
      <c r="N8" s="2" t="s">
        <v>46</v>
      </c>
    </row>
    <row r="9" spans="2:17">
      <c r="H9" s="27" t="s">
        <v>49</v>
      </c>
      <c r="I9" s="27" t="s">
        <v>50</v>
      </c>
      <c r="J9" s="27" t="s">
        <v>51</v>
      </c>
      <c r="L9" s="27" t="s">
        <v>78</v>
      </c>
      <c r="N9" s="27" t="s">
        <v>62</v>
      </c>
      <c r="O9" s="27" t="s">
        <v>13</v>
      </c>
      <c r="P9" s="27" t="s">
        <v>14</v>
      </c>
      <c r="Q9" s="27" t="s">
        <v>15</v>
      </c>
    </row>
    <row r="10" spans="2:17">
      <c r="B10" s="23" t="s">
        <v>0</v>
      </c>
      <c r="C10" s="254" t="s">
        <v>80</v>
      </c>
      <c r="D10" s="255"/>
      <c r="E10" s="255"/>
      <c r="F10" s="255"/>
      <c r="G10" s="256"/>
      <c r="H10" s="29" t="s">
        <v>58</v>
      </c>
      <c r="I10" s="29" t="s">
        <v>35</v>
      </c>
      <c r="J10" s="29" t="s">
        <v>12</v>
      </c>
      <c r="L10" s="28" t="s">
        <v>79</v>
      </c>
      <c r="N10" s="3" t="s">
        <v>16</v>
      </c>
      <c r="O10" s="11"/>
      <c r="P10" s="12">
        <v>2.2999999999999998</v>
      </c>
      <c r="Q10" s="12">
        <v>0.15</v>
      </c>
    </row>
    <row r="11" spans="2:17">
      <c r="B11" s="22" t="s">
        <v>65</v>
      </c>
      <c r="C11" s="53"/>
      <c r="D11" s="34"/>
      <c r="E11" s="34" t="s">
        <v>10</v>
      </c>
      <c r="F11" s="34" t="s">
        <v>8</v>
      </c>
      <c r="G11" s="57">
        <v>5</v>
      </c>
      <c r="H11" s="35"/>
      <c r="I11" s="44">
        <v>2.5299999999999998</v>
      </c>
      <c r="J11" s="37">
        <v>29.286999999999999</v>
      </c>
      <c r="L11" s="37">
        <v>0.61199999999999999</v>
      </c>
      <c r="N11" s="3" t="s">
        <v>17</v>
      </c>
      <c r="O11" s="13">
        <v>1.91</v>
      </c>
      <c r="P11" s="12">
        <v>2</v>
      </c>
      <c r="Q11" s="12">
        <v>0.13</v>
      </c>
    </row>
    <row r="12" spans="2:17">
      <c r="B12" s="22" t="s">
        <v>66</v>
      </c>
      <c r="C12" s="54">
        <f>G11</f>
        <v>5</v>
      </c>
      <c r="D12" s="34" t="s">
        <v>9</v>
      </c>
      <c r="E12" s="34" t="s">
        <v>10</v>
      </c>
      <c r="F12" s="34" t="s">
        <v>8</v>
      </c>
      <c r="G12" s="57">
        <v>50</v>
      </c>
      <c r="H12" s="35"/>
      <c r="I12" s="44">
        <v>5.79</v>
      </c>
      <c r="J12" s="40">
        <v>22.413</v>
      </c>
      <c r="L12" s="40">
        <v>0.61499999999999999</v>
      </c>
      <c r="N12" s="3" t="s">
        <v>18</v>
      </c>
      <c r="O12" s="14"/>
      <c r="P12" s="12">
        <v>1.9</v>
      </c>
      <c r="Q12" s="12">
        <v>0.13</v>
      </c>
    </row>
    <row r="13" spans="2:17">
      <c r="B13" s="22" t="s">
        <v>67</v>
      </c>
      <c r="C13" s="54">
        <f t="shared" ref="C13:C14" si="0">G12</f>
        <v>50</v>
      </c>
      <c r="D13" s="34" t="s">
        <v>9</v>
      </c>
      <c r="E13" s="34" t="s">
        <v>10</v>
      </c>
      <c r="F13" s="34" t="s">
        <v>8</v>
      </c>
      <c r="G13" s="57">
        <v>100</v>
      </c>
      <c r="H13" s="35"/>
      <c r="I13" s="44">
        <v>54.22</v>
      </c>
      <c r="J13" s="40">
        <v>16.117000000000001</v>
      </c>
      <c r="L13" s="40">
        <v>0.61599999999999999</v>
      </c>
      <c r="N13" s="3" t="s">
        <v>19</v>
      </c>
      <c r="O13" s="11"/>
      <c r="P13" s="12">
        <v>1.4</v>
      </c>
      <c r="Q13" s="12">
        <v>0.09</v>
      </c>
    </row>
    <row r="14" spans="2:17" ht="17.25" thickBot="1">
      <c r="B14" s="49" t="s">
        <v>68</v>
      </c>
      <c r="C14" s="55">
        <f t="shared" si="0"/>
        <v>100</v>
      </c>
      <c r="D14" s="50" t="s">
        <v>9</v>
      </c>
      <c r="E14" s="50" t="s">
        <v>10</v>
      </c>
      <c r="F14" s="50" t="s">
        <v>9</v>
      </c>
      <c r="G14" s="58">
        <v>8000</v>
      </c>
      <c r="H14" s="51"/>
      <c r="I14" s="107">
        <v>80.97</v>
      </c>
      <c r="J14" s="52">
        <v>13.012</v>
      </c>
      <c r="L14" s="52">
        <v>0.72199999999999998</v>
      </c>
      <c r="N14" s="3" t="s">
        <v>20</v>
      </c>
      <c r="O14" s="13">
        <v>1.21</v>
      </c>
      <c r="P14" s="12">
        <v>1.2</v>
      </c>
      <c r="Q14" s="12">
        <v>0.09</v>
      </c>
    </row>
    <row r="15" spans="2:17" ht="17.25" thickBot="1">
      <c r="B15" s="101" t="s">
        <v>69</v>
      </c>
      <c r="C15" s="102">
        <f>G14</f>
        <v>8000</v>
      </c>
      <c r="D15" s="114" t="s">
        <v>8</v>
      </c>
      <c r="E15" s="103" t="s">
        <v>10</v>
      </c>
      <c r="F15" s="103"/>
      <c r="G15" s="104"/>
      <c r="H15" s="105">
        <v>59.258000000000003</v>
      </c>
      <c r="I15" s="105"/>
      <c r="J15" s="106">
        <v>2.0099999999999998</v>
      </c>
      <c r="L15" s="108">
        <v>0.32400000000000001</v>
      </c>
      <c r="N15" s="3" t="s">
        <v>21</v>
      </c>
      <c r="O15" s="14"/>
      <c r="P15" s="12">
        <v>1</v>
      </c>
      <c r="Q15" s="12">
        <v>0.08</v>
      </c>
    </row>
    <row r="16" spans="2:17">
      <c r="B16" s="45" t="s">
        <v>70</v>
      </c>
      <c r="C16" s="56"/>
      <c r="D16" s="46"/>
      <c r="E16" s="46" t="s">
        <v>10</v>
      </c>
      <c r="F16" s="46" t="s">
        <v>8</v>
      </c>
      <c r="G16" s="59">
        <v>500</v>
      </c>
      <c r="H16" s="47">
        <v>253.05500000000001</v>
      </c>
      <c r="I16" s="47"/>
      <c r="J16" s="48">
        <v>1.9339999999999999</v>
      </c>
      <c r="N16" s="3" t="s">
        <v>22</v>
      </c>
      <c r="O16" s="11"/>
      <c r="P16" s="12">
        <v>1.2</v>
      </c>
      <c r="Q16" s="12">
        <v>0.08</v>
      </c>
    </row>
    <row r="17" spans="2:21">
      <c r="B17" s="22" t="s">
        <v>71</v>
      </c>
      <c r="C17" s="54">
        <f>G16</f>
        <v>500</v>
      </c>
      <c r="D17" s="34" t="s">
        <v>9</v>
      </c>
      <c r="E17" s="34" t="s">
        <v>10</v>
      </c>
      <c r="F17" s="34" t="s">
        <v>8</v>
      </c>
      <c r="G17" s="57">
        <v>5000</v>
      </c>
      <c r="H17" s="37">
        <v>68.683000000000007</v>
      </c>
      <c r="I17" s="35"/>
      <c r="J17" s="37">
        <v>1.5429999999999999</v>
      </c>
      <c r="N17" s="3" t="s">
        <v>23</v>
      </c>
      <c r="O17" s="13">
        <v>1.08</v>
      </c>
      <c r="P17" s="12">
        <v>1</v>
      </c>
      <c r="Q17" s="12">
        <v>7.0000000000000007E-2</v>
      </c>
    </row>
    <row r="18" spans="2:21">
      <c r="B18" s="22" t="s">
        <v>72</v>
      </c>
      <c r="C18" s="54">
        <f t="shared" ref="C18:C21" si="1">G17</f>
        <v>5000</v>
      </c>
      <c r="D18" s="34" t="s">
        <v>9</v>
      </c>
      <c r="E18" s="34" t="s">
        <v>10</v>
      </c>
      <c r="F18" s="34" t="s">
        <v>8</v>
      </c>
      <c r="G18" s="57">
        <v>30000</v>
      </c>
      <c r="H18" s="37">
        <v>44.970999999999997</v>
      </c>
      <c r="I18" s="35"/>
      <c r="J18" s="36">
        <v>1.2490000000000001</v>
      </c>
      <c r="N18" s="3" t="s">
        <v>24</v>
      </c>
      <c r="O18" s="14"/>
      <c r="P18" s="12">
        <v>1.2</v>
      </c>
      <c r="Q18" s="12">
        <v>0.08</v>
      </c>
    </row>
    <row r="19" spans="2:21">
      <c r="B19" s="22" t="s">
        <v>73</v>
      </c>
      <c r="C19" s="54">
        <f t="shared" si="1"/>
        <v>30000</v>
      </c>
      <c r="D19" s="34" t="s">
        <v>9</v>
      </c>
      <c r="E19" s="34" t="s">
        <v>10</v>
      </c>
      <c r="F19" s="34" t="s">
        <v>8</v>
      </c>
      <c r="G19" s="57">
        <v>100000</v>
      </c>
      <c r="H19" s="37">
        <v>41.21</v>
      </c>
      <c r="I19" s="35"/>
      <c r="J19" s="37">
        <v>1.121</v>
      </c>
      <c r="N19" s="3" t="s">
        <v>25</v>
      </c>
      <c r="O19" s="11"/>
      <c r="P19" s="12">
        <v>1.3</v>
      </c>
      <c r="Q19" s="12">
        <v>0.09</v>
      </c>
    </row>
    <row r="20" spans="2:21">
      <c r="B20" s="22" t="s">
        <v>74</v>
      </c>
      <c r="C20" s="54">
        <f t="shared" si="1"/>
        <v>100000</v>
      </c>
      <c r="D20" s="34" t="s">
        <v>9</v>
      </c>
      <c r="E20" s="34" t="s">
        <v>10</v>
      </c>
      <c r="F20" s="34" t="s">
        <v>8</v>
      </c>
      <c r="G20" s="57">
        <v>500000</v>
      </c>
      <c r="H20" s="37">
        <v>37.887</v>
      </c>
      <c r="I20" s="35"/>
      <c r="J20" s="40">
        <v>0.98299999999999998</v>
      </c>
      <c r="N20" s="3" t="s">
        <v>26</v>
      </c>
      <c r="O20" s="13">
        <v>1.36</v>
      </c>
      <c r="P20" s="12">
        <v>1.4</v>
      </c>
      <c r="Q20" s="12">
        <v>0.09</v>
      </c>
    </row>
    <row r="21" spans="2:21">
      <c r="B21" s="22" t="s">
        <v>75</v>
      </c>
      <c r="C21" s="54">
        <f t="shared" si="1"/>
        <v>500000</v>
      </c>
      <c r="D21" s="34" t="s">
        <v>9</v>
      </c>
      <c r="E21" s="34" t="s">
        <v>10</v>
      </c>
      <c r="F21" s="34"/>
      <c r="G21" s="57"/>
      <c r="H21" s="37">
        <v>34.847999999999999</v>
      </c>
      <c r="I21" s="35"/>
      <c r="J21" s="40">
        <v>0.85199999999999998</v>
      </c>
      <c r="N21" s="3" t="s">
        <v>27</v>
      </c>
      <c r="O21" s="14"/>
      <c r="P21" s="12">
        <v>1.6</v>
      </c>
      <c r="Q21" s="12">
        <v>0.11</v>
      </c>
    </row>
    <row r="22" spans="2:21">
      <c r="E22" s="1"/>
    </row>
    <row r="23" spans="2:21">
      <c r="E23" s="1"/>
    </row>
    <row r="24" spans="2:21">
      <c r="B24" s="2" t="s">
        <v>59</v>
      </c>
    </row>
    <row r="25" spans="2:21">
      <c r="H25" s="27" t="s">
        <v>49</v>
      </c>
      <c r="I25" s="27" t="s">
        <v>51</v>
      </c>
      <c r="S25" s="2" t="s">
        <v>122</v>
      </c>
    </row>
    <row r="26" spans="2:21">
      <c r="H26" s="29" t="s">
        <v>56</v>
      </c>
      <c r="I26" s="29" t="s">
        <v>57</v>
      </c>
      <c r="S26" s="2" t="s">
        <v>120</v>
      </c>
    </row>
    <row r="27" spans="2:21">
      <c r="H27" s="30">
        <v>1.9612000000000001</v>
      </c>
      <c r="I27" s="30">
        <v>1.1599999999999999E-2</v>
      </c>
      <c r="S27" s="2" t="s">
        <v>109</v>
      </c>
    </row>
    <row r="28" spans="2:21" ht="18">
      <c r="H28" s="29" t="s">
        <v>58</v>
      </c>
      <c r="I28" s="29" t="s">
        <v>12</v>
      </c>
      <c r="R28" s="174"/>
      <c r="S28" s="127" t="s">
        <v>110</v>
      </c>
      <c r="T28" s="128"/>
      <c r="U28" s="12">
        <v>0.05</v>
      </c>
    </row>
    <row r="29" spans="2:21">
      <c r="H29" s="33">
        <f>1000*H27/100</f>
        <v>19.612000000000002</v>
      </c>
      <c r="I29" s="33">
        <f>1000*I27/100</f>
        <v>0.11599999999999999</v>
      </c>
      <c r="S29" s="118" t="s">
        <v>111</v>
      </c>
      <c r="T29" s="119" t="s">
        <v>112</v>
      </c>
      <c r="U29" s="4">
        <v>15.75</v>
      </c>
    </row>
    <row r="30" spans="2:21">
      <c r="S30" s="158" t="s">
        <v>119</v>
      </c>
      <c r="T30" s="136"/>
      <c r="U30" s="137">
        <f>U28/U29</f>
        <v>3.1746031746031746E-3</v>
      </c>
    </row>
    <row r="31" spans="2:21">
      <c r="B31" s="2" t="s">
        <v>81</v>
      </c>
    </row>
    <row r="32" spans="2:21">
      <c r="H32" s="27" t="s">
        <v>49</v>
      </c>
      <c r="I32" s="27" t="s">
        <v>51</v>
      </c>
      <c r="S32" s="2" t="s">
        <v>121</v>
      </c>
    </row>
    <row r="33" spans="8:9">
      <c r="H33" s="29" t="s">
        <v>56</v>
      </c>
      <c r="I33" s="29" t="s">
        <v>57</v>
      </c>
    </row>
    <row r="34" spans="8:9">
      <c r="H34" s="30">
        <v>2.8805999999999998</v>
      </c>
      <c r="I34" s="30">
        <v>1.7100000000000001E-2</v>
      </c>
    </row>
    <row r="35" spans="8:9">
      <c r="H35" s="29" t="s">
        <v>58</v>
      </c>
      <c r="I35" s="29" t="s">
        <v>12</v>
      </c>
    </row>
    <row r="36" spans="8:9">
      <c r="H36" s="33">
        <f>1000*H34/100</f>
        <v>28.805999999999997</v>
      </c>
      <c r="I36" s="33">
        <f>1000*I34/100</f>
        <v>0.17100000000000001</v>
      </c>
    </row>
  </sheetData>
  <customSheetViews>
    <customSheetView guid="{96C67CFB-CE46-46EB-8800-9D77F2045444}" scale="90" showPageBreaks="1" showGridLines="0" fitToPage="1">
      <selection activeCell="N32" sqref="N32"/>
      <pageMargins left="0.70866141732283472" right="0.70866141732283472" top="0.74803149606299213" bottom="0.74803149606299213" header="0.31496062992125984" footer="0.31496062992125984"/>
      <pageSetup paperSize="9" scale="96" orientation="landscape" r:id="rId1"/>
      <headerFooter>
        <oddHeader>&amp;L&amp;F&amp;R&amp;A</oddHeader>
        <oddFooter>&amp;R&amp;Z&amp;F</oddFooter>
      </headerFooter>
    </customSheetView>
    <customSheetView guid="{DE30ACA8-1284-4798-8E7A-589852EF3C29}" scale="90" showGridLines="0" fitToPage="1" topLeftCell="A7">
      <selection activeCell="N25" sqref="N25"/>
      <pageMargins left="0.70866141732283472" right="0.70866141732283472" top="0.74803149606299213" bottom="0.74803149606299213" header="0.31496062992125984" footer="0.31496062992125984"/>
      <pageSetup paperSize="9" scale="94" orientation="landscape" r:id="rId2"/>
      <headerFooter>
        <oddHeader>&amp;L&amp;F&amp;R&amp;A</oddHeader>
        <oddFooter>&amp;R&amp;Z&amp;F</oddFooter>
      </headerFooter>
    </customSheetView>
  </customSheetViews>
  <mergeCells count="1">
    <mergeCell ref="C10:G1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6" orientation="landscape" r:id="rId3"/>
  <headerFooter>
    <oddHeader>&amp;LANEXO I: CÁLCULOS DEL IMPACTO PROMEDIO DE LA NUEVA METODOLOGÍA DE PEAJES SOBRE LOS CLIENTES&amp;R&amp;A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42"/>
  <sheetViews>
    <sheetView showGridLines="0" zoomScale="80" zoomScaleNormal="80" workbookViewId="0">
      <selection activeCell="Q34" sqref="Q34"/>
    </sheetView>
  </sheetViews>
  <sheetFormatPr baseColWidth="10" defaultRowHeight="16.5"/>
  <cols>
    <col min="1" max="1" width="4.42578125" customWidth="1"/>
    <col min="2" max="2" width="8.28515625" customWidth="1"/>
    <col min="3" max="3" width="7.42578125" bestFit="1" customWidth="1"/>
    <col min="4" max="4" width="2" bestFit="1" customWidth="1"/>
    <col min="5" max="5" width="2.28515625" bestFit="1" customWidth="1"/>
    <col min="6" max="6" width="2.140625" bestFit="1" customWidth="1"/>
    <col min="7" max="7" width="10.28515625" customWidth="1"/>
    <col min="8" max="8" width="14.140625" customWidth="1"/>
    <col min="9" max="9" width="15.42578125" customWidth="1"/>
    <col min="10" max="10" width="19.5703125" customWidth="1"/>
    <col min="11" max="11" width="17.7109375" customWidth="1"/>
    <col min="12" max="12" width="9.42578125" customWidth="1"/>
    <col min="15" max="15" width="11.5703125" bestFit="1" customWidth="1"/>
    <col min="18" max="18" width="3.28515625" customWidth="1"/>
  </cols>
  <sheetData>
    <row r="2" spans="2:17">
      <c r="B2" s="2" t="s">
        <v>126</v>
      </c>
    </row>
    <row r="3" spans="2:17">
      <c r="B3" t="s">
        <v>45</v>
      </c>
      <c r="J3" s="23" t="s">
        <v>82</v>
      </c>
      <c r="K3" s="23" t="s">
        <v>83</v>
      </c>
      <c r="N3" s="2" t="s">
        <v>46</v>
      </c>
    </row>
    <row r="4" spans="2:17">
      <c r="J4" s="29" t="s">
        <v>84</v>
      </c>
      <c r="K4" s="29" t="s">
        <v>85</v>
      </c>
      <c r="N4" t="s">
        <v>60</v>
      </c>
    </row>
    <row r="5" spans="2:17">
      <c r="G5" s="41" t="s">
        <v>44</v>
      </c>
      <c r="H5" s="41"/>
      <c r="I5" s="4" t="s">
        <v>11</v>
      </c>
      <c r="J5" s="40">
        <v>167.07</v>
      </c>
      <c r="K5" s="40">
        <v>103.16</v>
      </c>
      <c r="N5" s="3" t="s">
        <v>13</v>
      </c>
      <c r="O5" s="12">
        <v>1.2</v>
      </c>
    </row>
    <row r="6" spans="2:17">
      <c r="G6" s="43"/>
      <c r="H6" s="42"/>
      <c r="I6" s="4" t="s">
        <v>58</v>
      </c>
      <c r="J6" s="190">
        <f>J5/12</f>
        <v>13.922499999999999</v>
      </c>
      <c r="K6" s="190">
        <f>K5/12</f>
        <v>8.5966666666666658</v>
      </c>
      <c r="N6" s="3" t="s">
        <v>14</v>
      </c>
      <c r="O6" s="12">
        <v>1.3</v>
      </c>
    </row>
    <row r="7" spans="2:17">
      <c r="G7" s="3" t="s">
        <v>43</v>
      </c>
      <c r="H7" s="3"/>
      <c r="I7" s="4" t="s">
        <v>12</v>
      </c>
      <c r="J7" s="213">
        <v>2.5181930000000002E-2</v>
      </c>
      <c r="K7" s="213">
        <v>2.5181930000000002E-2</v>
      </c>
      <c r="N7" s="3" t="s">
        <v>15</v>
      </c>
      <c r="O7" s="12">
        <v>1.6</v>
      </c>
    </row>
    <row r="9" spans="2:17">
      <c r="B9" s="2" t="s">
        <v>47</v>
      </c>
      <c r="N9" s="2" t="s">
        <v>63</v>
      </c>
    </row>
    <row r="10" spans="2:17">
      <c r="B10" t="s">
        <v>48</v>
      </c>
      <c r="N10" t="s">
        <v>64</v>
      </c>
    </row>
    <row r="11" spans="2:17">
      <c r="H11" s="27" t="s">
        <v>49</v>
      </c>
      <c r="I11" s="27" t="s">
        <v>50</v>
      </c>
      <c r="J11" s="27" t="s">
        <v>51</v>
      </c>
      <c r="K11" s="27" t="s">
        <v>52</v>
      </c>
      <c r="L11" s="27" t="s">
        <v>53</v>
      </c>
      <c r="N11" s="27" t="s">
        <v>62</v>
      </c>
      <c r="O11" s="27" t="s">
        <v>29</v>
      </c>
      <c r="P11" s="27" t="s">
        <v>28</v>
      </c>
      <c r="Q11" s="27" t="s">
        <v>30</v>
      </c>
    </row>
    <row r="12" spans="2:17">
      <c r="B12" s="23" t="s">
        <v>0</v>
      </c>
      <c r="C12" s="254" t="s">
        <v>80</v>
      </c>
      <c r="D12" s="255"/>
      <c r="E12" s="255"/>
      <c r="F12" s="255"/>
      <c r="G12" s="256"/>
      <c r="H12" s="29" t="s">
        <v>58</v>
      </c>
      <c r="I12" s="29" t="s">
        <v>35</v>
      </c>
      <c r="J12" s="29" t="s">
        <v>12</v>
      </c>
      <c r="K12" s="29" t="s">
        <v>12</v>
      </c>
      <c r="L12" s="28" t="s">
        <v>54</v>
      </c>
      <c r="N12" s="3" t="s">
        <v>16</v>
      </c>
      <c r="O12" s="11"/>
      <c r="P12" s="12">
        <v>1.76</v>
      </c>
      <c r="Q12" s="12">
        <v>2.17</v>
      </c>
    </row>
    <row r="13" spans="2:17">
      <c r="B13" s="22" t="s">
        <v>1</v>
      </c>
      <c r="C13" s="53"/>
      <c r="D13" s="34"/>
      <c r="E13" s="34" t="s">
        <v>10</v>
      </c>
      <c r="F13" s="34" t="s">
        <v>8</v>
      </c>
      <c r="G13" s="57">
        <v>3</v>
      </c>
      <c r="H13" s="35"/>
      <c r="I13" s="44">
        <v>0.4224</v>
      </c>
      <c r="J13" s="37">
        <v>13.1122</v>
      </c>
      <c r="K13" s="38">
        <f>(12*'Tipología Clientes'!H6*I13+'Tipología Clientes'!I6*J13)/'Tipología Clientes'!I6</f>
        <v>16.655923403443133</v>
      </c>
      <c r="L13" s="39">
        <f>(12*I13*'Tipología Clientes'!H6/'Tipología Clientes'!I6)/K13</f>
        <v>0.21276054876132358</v>
      </c>
      <c r="N13" s="3" t="s">
        <v>17</v>
      </c>
      <c r="O13" s="13">
        <v>1.42</v>
      </c>
      <c r="P13" s="12">
        <v>1.47</v>
      </c>
      <c r="Q13" s="12">
        <v>1.81</v>
      </c>
    </row>
    <row r="14" spans="2:17">
      <c r="B14" s="22" t="s">
        <v>2</v>
      </c>
      <c r="C14" s="54">
        <f>G13</f>
        <v>3</v>
      </c>
      <c r="D14" s="34" t="s">
        <v>9</v>
      </c>
      <c r="E14" s="34" t="s">
        <v>10</v>
      </c>
      <c r="F14" s="34" t="s">
        <v>8</v>
      </c>
      <c r="G14" s="57">
        <v>15</v>
      </c>
      <c r="H14" s="35"/>
      <c r="I14" s="44">
        <v>2.2261000000000002</v>
      </c>
      <c r="J14" s="37">
        <v>14.2348</v>
      </c>
      <c r="K14" s="38">
        <f>(12*'Tipología Clientes'!H7*I14+'Tipología Clientes'!I7*J14)/'Tipología Clientes'!I7</f>
        <v>18.133062594925203</v>
      </c>
      <c r="L14" s="39">
        <f>(12*I14*'Tipología Clientes'!H7/'Tipología Clientes'!I7)/K14</f>
        <v>0.21498092638891503</v>
      </c>
      <c r="N14" s="3" t="s">
        <v>18</v>
      </c>
      <c r="O14" s="14"/>
      <c r="P14" s="12">
        <v>1.39</v>
      </c>
      <c r="Q14" s="12">
        <v>1.71</v>
      </c>
    </row>
    <row r="15" spans="2:17">
      <c r="B15" s="22" t="s">
        <v>3</v>
      </c>
      <c r="C15" s="54">
        <f t="shared" ref="C15:C23" si="0">G14</f>
        <v>15</v>
      </c>
      <c r="D15" s="34" t="s">
        <v>9</v>
      </c>
      <c r="E15" s="34" t="s">
        <v>10</v>
      </c>
      <c r="F15" s="34" t="s">
        <v>8</v>
      </c>
      <c r="G15" s="57">
        <v>50</v>
      </c>
      <c r="H15" s="35"/>
      <c r="I15" s="44">
        <v>11.603999999999999</v>
      </c>
      <c r="J15" s="40">
        <v>12.164</v>
      </c>
      <c r="K15" s="38">
        <f>(12*'Tipología Clientes'!H8*I15+'Tipología Clientes'!I8*J15)/'Tipología Clientes'!I8</f>
        <v>18.63473208816928</v>
      </c>
      <c r="L15" s="39">
        <f>(12*I15*'Tipología Clientes'!H8/'Tipología Clientes'!I8)/K15</f>
        <v>0.34724041416604989</v>
      </c>
      <c r="N15" s="3" t="s">
        <v>19</v>
      </c>
      <c r="O15" s="11"/>
      <c r="P15" s="12">
        <v>1.1000000000000001</v>
      </c>
      <c r="Q15" s="12">
        <v>1.35</v>
      </c>
    </row>
    <row r="16" spans="2:17">
      <c r="B16" s="22" t="s">
        <v>4</v>
      </c>
      <c r="C16" s="54">
        <f t="shared" si="0"/>
        <v>50</v>
      </c>
      <c r="D16" s="34" t="s">
        <v>9</v>
      </c>
      <c r="E16" s="34" t="s">
        <v>10</v>
      </c>
      <c r="F16" s="34" t="s">
        <v>8</v>
      </c>
      <c r="G16" s="57">
        <v>300</v>
      </c>
      <c r="H16" s="35"/>
      <c r="I16" s="44">
        <v>37.785400000000003</v>
      </c>
      <c r="J16" s="40">
        <v>11.996</v>
      </c>
      <c r="K16" s="38">
        <f>(12*'Tipología Clientes'!H9*I16+'Tipología Clientes'!I9*J16)/'Tipología Clientes'!I9</f>
        <v>15.807932347753006</v>
      </c>
      <c r="L16" s="39">
        <f>(12*I16*'Tipología Clientes'!H9/'Tipología Clientes'!I9)/K16</f>
        <v>0.24114047706529099</v>
      </c>
      <c r="N16" s="3" t="s">
        <v>20</v>
      </c>
      <c r="O16" s="13">
        <v>0.96</v>
      </c>
      <c r="P16" s="12">
        <v>1.02</v>
      </c>
      <c r="Q16" s="12">
        <v>1.25</v>
      </c>
    </row>
    <row r="17" spans="2:17">
      <c r="B17" s="22" t="s">
        <v>5</v>
      </c>
      <c r="C17" s="54">
        <f t="shared" si="0"/>
        <v>300</v>
      </c>
      <c r="D17" s="34" t="s">
        <v>9</v>
      </c>
      <c r="E17" s="34" t="s">
        <v>10</v>
      </c>
      <c r="F17" s="34" t="s">
        <v>8</v>
      </c>
      <c r="G17" s="57">
        <v>1500</v>
      </c>
      <c r="H17" s="35"/>
      <c r="I17" s="44">
        <v>184.27269999999999</v>
      </c>
      <c r="J17" s="40">
        <v>12.071</v>
      </c>
      <c r="K17" s="38">
        <f>(12*'Tipología Clientes'!H10*I17+'Tipología Clientes'!I10*J17)/'Tipología Clientes'!I10</f>
        <v>15.750005844468019</v>
      </c>
      <c r="L17" s="39">
        <f>(12*I17*'Tipología Clientes'!H10/'Tipología Clientes'!I10)/K17</f>
        <v>0.23358758598557725</v>
      </c>
      <c r="N17" s="3" t="s">
        <v>21</v>
      </c>
      <c r="O17" s="14"/>
      <c r="P17" s="12">
        <v>1.02</v>
      </c>
      <c r="Q17" s="12">
        <v>1.26</v>
      </c>
    </row>
    <row r="18" spans="2:17">
      <c r="B18" s="22" t="s">
        <v>6</v>
      </c>
      <c r="C18" s="54">
        <f t="shared" si="0"/>
        <v>1500</v>
      </c>
      <c r="D18" s="34" t="s">
        <v>9</v>
      </c>
      <c r="E18" s="34" t="s">
        <v>10</v>
      </c>
      <c r="F18" s="34" t="s">
        <v>8</v>
      </c>
      <c r="G18" s="57">
        <v>5000</v>
      </c>
      <c r="H18" s="35"/>
      <c r="I18" s="44">
        <v>921.84</v>
      </c>
      <c r="J18" s="40">
        <v>7.1639999999999997</v>
      </c>
      <c r="K18" s="38">
        <f>(12*'Tipología Clientes'!H11*I18+'Tipología Clientes'!I11*J18)/'Tipología Clientes'!I11</f>
        <v>11.481325708460909</v>
      </c>
      <c r="L18" s="39">
        <f>(12*I18*'Tipología Clientes'!H11/'Tipología Clientes'!I11)/K18</f>
        <v>0.37603024407532931</v>
      </c>
      <c r="N18" s="3" t="s">
        <v>22</v>
      </c>
      <c r="O18" s="11"/>
      <c r="P18" s="12">
        <v>1.1000000000000001</v>
      </c>
      <c r="Q18" s="12">
        <v>1.35</v>
      </c>
    </row>
    <row r="19" spans="2:17">
      <c r="B19" s="22" t="s">
        <v>7</v>
      </c>
      <c r="C19" s="54">
        <f t="shared" si="0"/>
        <v>5000</v>
      </c>
      <c r="D19" s="34" t="s">
        <v>9</v>
      </c>
      <c r="E19" s="34" t="s">
        <v>10</v>
      </c>
      <c r="F19" s="34" t="s">
        <v>8</v>
      </c>
      <c r="G19" s="57">
        <v>15000</v>
      </c>
      <c r="H19" s="190">
        <f>1000*0.8503/12</f>
        <v>70.858333333333334</v>
      </c>
      <c r="I19" s="35"/>
      <c r="J19" s="37">
        <v>0.83020000000000005</v>
      </c>
      <c r="K19" s="38">
        <f>(12*'Tipología Clientes'!K12*H19+'Tipología Clientes'!I12*J19)/'Tipología Clientes'!I12</f>
        <v>5.5691531564688574</v>
      </c>
      <c r="L19" s="39">
        <f>(12*H19*'Tipología Clientes'!K12/'Tipología Clientes'!I12)/K19</f>
        <v>0.85092886177215643</v>
      </c>
      <c r="N19" s="3" t="s">
        <v>23</v>
      </c>
      <c r="O19" s="13">
        <v>0.97</v>
      </c>
      <c r="P19" s="12">
        <v>1</v>
      </c>
      <c r="Q19" s="12">
        <v>1.23</v>
      </c>
    </row>
    <row r="20" spans="2:17">
      <c r="B20" s="22" t="s">
        <v>31</v>
      </c>
      <c r="C20" s="54">
        <f t="shared" si="0"/>
        <v>15000</v>
      </c>
      <c r="D20" s="34" t="s">
        <v>9</v>
      </c>
      <c r="E20" s="34" t="s">
        <v>10</v>
      </c>
      <c r="F20" s="34" t="s">
        <v>8</v>
      </c>
      <c r="G20" s="57">
        <v>50000</v>
      </c>
      <c r="H20" s="190">
        <f>1000*0.40912/12</f>
        <v>34.093333333333334</v>
      </c>
      <c r="I20" s="35"/>
      <c r="J20" s="40">
        <v>0.52300000000000002</v>
      </c>
      <c r="K20" s="38">
        <f>(12*'Tipología Clientes'!K13*H20+'Tipología Clientes'!I13*J20)/'Tipología Clientes'!I13</f>
        <v>2.406012160951116</v>
      </c>
      <c r="L20" s="39">
        <f>(12*H20*'Tipología Clientes'!K13/'Tipología Clientes'!I13)/K20</f>
        <v>0.78262786510885551</v>
      </c>
      <c r="N20" s="3" t="s">
        <v>24</v>
      </c>
      <c r="O20" s="14"/>
      <c r="P20" s="12">
        <v>1.07</v>
      </c>
      <c r="Q20" s="12">
        <v>1.31</v>
      </c>
    </row>
    <row r="21" spans="2:17">
      <c r="B21" s="22" t="s">
        <v>32</v>
      </c>
      <c r="C21" s="54">
        <f t="shared" si="0"/>
        <v>50000</v>
      </c>
      <c r="D21" s="34" t="s">
        <v>9</v>
      </c>
      <c r="E21" s="34" t="s">
        <v>10</v>
      </c>
      <c r="F21" s="34" t="s">
        <v>8</v>
      </c>
      <c r="G21" s="57">
        <v>150000</v>
      </c>
      <c r="H21" s="190">
        <f>1000*0.169962/12</f>
        <v>14.163499999999999</v>
      </c>
      <c r="I21" s="35"/>
      <c r="J21" s="37">
        <v>0.34539999999999998</v>
      </c>
      <c r="K21" s="38">
        <f>(12*'Tipología Clientes'!K14*H21+'Tipología Clientes'!I14*J21)/'Tipología Clientes'!I14</f>
        <v>1.0217414732005299</v>
      </c>
      <c r="L21" s="39">
        <f>(12*H21*'Tipología Clientes'!K14/'Tipología Clientes'!I14)/K21</f>
        <v>0.66194971129236835</v>
      </c>
      <c r="N21" s="3" t="s">
        <v>25</v>
      </c>
      <c r="O21" s="11"/>
      <c r="P21" s="12">
        <v>1.28</v>
      </c>
      <c r="Q21" s="12">
        <v>1.58</v>
      </c>
    </row>
    <row r="22" spans="2:17">
      <c r="B22" s="22" t="s">
        <v>33</v>
      </c>
      <c r="C22" s="54">
        <f t="shared" si="0"/>
        <v>150000</v>
      </c>
      <c r="D22" s="34" t="s">
        <v>9</v>
      </c>
      <c r="E22" s="34" t="s">
        <v>10</v>
      </c>
      <c r="F22" s="34" t="s">
        <v>8</v>
      </c>
      <c r="G22" s="57">
        <v>500000</v>
      </c>
      <c r="H22" s="190">
        <f>1000*0.13073/12</f>
        <v>10.894166666666669</v>
      </c>
      <c r="I22" s="35"/>
      <c r="J22" s="40">
        <v>0.27800000000000002</v>
      </c>
      <c r="K22" s="38">
        <f>(12*'Tipología Clientes'!K15*H22+'Tipología Clientes'!I15*J22)/'Tipología Clientes'!I15</f>
        <v>0.76767455452143485</v>
      </c>
      <c r="L22" s="39">
        <f>(12*H22*'Tipología Clientes'!K15/'Tipología Clientes'!I15)/K22</f>
        <v>0.63786737705106811</v>
      </c>
      <c r="N22" s="3" t="s">
        <v>26</v>
      </c>
      <c r="O22" s="13">
        <v>1.44</v>
      </c>
      <c r="P22" s="12">
        <v>1.63</v>
      </c>
      <c r="Q22" s="12">
        <v>2</v>
      </c>
    </row>
    <row r="23" spans="2:17">
      <c r="B23" s="22" t="s">
        <v>34</v>
      </c>
      <c r="C23" s="54">
        <f t="shared" si="0"/>
        <v>500000</v>
      </c>
      <c r="D23" s="34" t="s">
        <v>9</v>
      </c>
      <c r="E23" s="34" t="s">
        <v>10</v>
      </c>
      <c r="F23" s="34"/>
      <c r="G23" s="57"/>
      <c r="H23" s="190">
        <f>1000*0.08383/12</f>
        <v>6.9858333333333329</v>
      </c>
      <c r="I23" s="35"/>
      <c r="J23" s="40">
        <v>6.5699999999999995E-2</v>
      </c>
      <c r="K23" s="38">
        <f>(12*'Tipología Clientes'!K16*H23+'Tipología Clientes'!I16*J23)/'Tipología Clientes'!I16</f>
        <v>0.4784169270513573</v>
      </c>
      <c r="L23" s="39">
        <f>(12*H23*'Tipología Clientes'!K16/'Tipología Clientes'!I16)/K23</f>
        <v>0.86267208310347432</v>
      </c>
      <c r="N23" s="3" t="s">
        <v>27</v>
      </c>
      <c r="O23" s="14"/>
      <c r="P23" s="12">
        <v>1.77</v>
      </c>
      <c r="Q23" s="12">
        <v>2.17</v>
      </c>
    </row>
    <row r="24" spans="2:17">
      <c r="E24" s="1"/>
    </row>
    <row r="25" spans="2:17">
      <c r="B25" s="2" t="s">
        <v>59</v>
      </c>
    </row>
    <row r="26" spans="2:17">
      <c r="B26" t="s">
        <v>116</v>
      </c>
      <c r="H26" s="27" t="s">
        <v>49</v>
      </c>
      <c r="I26" s="27" t="s">
        <v>51</v>
      </c>
      <c r="N26" s="2" t="s">
        <v>46</v>
      </c>
    </row>
    <row r="27" spans="2:17">
      <c r="H27" s="29" t="s">
        <v>56</v>
      </c>
      <c r="I27" s="29" t="s">
        <v>57</v>
      </c>
      <c r="N27" t="s">
        <v>61</v>
      </c>
    </row>
    <row r="28" spans="2:17">
      <c r="H28" s="214">
        <v>2.5224000000000002</v>
      </c>
      <c r="I28" s="214">
        <v>1.0178E-2</v>
      </c>
      <c r="N28" s="3" t="s">
        <v>13</v>
      </c>
      <c r="O28" s="12">
        <v>1.2</v>
      </c>
    </row>
    <row r="29" spans="2:17">
      <c r="H29" s="29" t="s">
        <v>58</v>
      </c>
      <c r="I29" s="29" t="s">
        <v>12</v>
      </c>
      <c r="N29" s="3" t="s">
        <v>14</v>
      </c>
      <c r="O29" s="12">
        <v>1.4</v>
      </c>
    </row>
    <row r="30" spans="2:17">
      <c r="H30" s="60">
        <f>1000*H28/100</f>
        <v>25.224</v>
      </c>
      <c r="I30" s="60">
        <f>1000*I28/100</f>
        <v>0.10178</v>
      </c>
      <c r="N30" s="3" t="s">
        <v>15</v>
      </c>
      <c r="O30" s="12">
        <v>2</v>
      </c>
    </row>
    <row r="32" spans="2:17">
      <c r="B32" s="2" t="s">
        <v>130</v>
      </c>
    </row>
    <row r="33" spans="2:15">
      <c r="B33" t="s">
        <v>131</v>
      </c>
      <c r="H33" s="27" t="s">
        <v>51</v>
      </c>
      <c r="N33" s="2" t="s">
        <v>46</v>
      </c>
    </row>
    <row r="34" spans="2:15">
      <c r="H34" s="29" t="s">
        <v>12</v>
      </c>
      <c r="N34" t="s">
        <v>61</v>
      </c>
    </row>
    <row r="35" spans="2:15">
      <c r="H35" s="214">
        <v>0.14737</v>
      </c>
      <c r="N35" s="3" t="s">
        <v>13</v>
      </c>
      <c r="O35" s="12">
        <v>1.1000000000000001</v>
      </c>
    </row>
    <row r="36" spans="2:15">
      <c r="N36" s="3" t="s">
        <v>14</v>
      </c>
      <c r="O36" s="12">
        <v>1.2</v>
      </c>
    </row>
    <row r="37" spans="2:15">
      <c r="B37" s="2" t="s">
        <v>81</v>
      </c>
      <c r="N37" s="3" t="s">
        <v>15</v>
      </c>
      <c r="O37" s="12">
        <v>1.8</v>
      </c>
    </row>
    <row r="38" spans="2:15">
      <c r="B38" t="s">
        <v>55</v>
      </c>
      <c r="H38" s="27" t="s">
        <v>49</v>
      </c>
      <c r="I38" s="27" t="s">
        <v>51</v>
      </c>
    </row>
    <row r="39" spans="2:15">
      <c r="H39" s="29" t="s">
        <v>56</v>
      </c>
      <c r="I39" s="29" t="s">
        <v>57</v>
      </c>
    </row>
    <row r="40" spans="2:15">
      <c r="H40" s="214">
        <v>2.1718999999999999</v>
      </c>
      <c r="I40" s="214">
        <v>8.6960000000000006E-3</v>
      </c>
    </row>
    <row r="41" spans="2:15">
      <c r="H41" s="29" t="s">
        <v>58</v>
      </c>
      <c r="I41" s="29" t="s">
        <v>12</v>
      </c>
    </row>
    <row r="42" spans="2:15">
      <c r="H42" s="60">
        <f>1000*H40/100</f>
        <v>21.719000000000001</v>
      </c>
      <c r="I42" s="60">
        <f>1000*I40/100</f>
        <v>8.6959999999999996E-2</v>
      </c>
    </row>
  </sheetData>
  <customSheetViews>
    <customSheetView guid="{96C67CFB-CE46-46EB-8800-9D77F2045444}" scale="90" showPageBreaks="1" showGridLines="0" printArea="1" topLeftCell="A10">
      <selection activeCell="U29" sqref="U29"/>
      <pageMargins left="0.70866141732283472" right="0.70866141732283472" top="0.74803149606299213" bottom="0.74803149606299213" header="0.31496062992125984" footer="0.31496062992125984"/>
      <pageSetup paperSize="9" scale="81" orientation="landscape" r:id="rId1"/>
      <headerFooter>
        <oddHeader>&amp;L&amp;F&amp;R&amp;A</oddHeader>
        <oddFooter>&amp;R&amp;Z&amp;F</oddFooter>
      </headerFooter>
    </customSheetView>
    <customSheetView guid="{DE30ACA8-1284-4798-8E7A-589852EF3C29}" scale="90" showGridLines="0">
      <selection activeCell="U29" sqref="U29"/>
      <pageMargins left="0.70866141732283472" right="0.70866141732283472" top="0.74803149606299213" bottom="0.74803149606299213" header="0.31496062992125984" footer="0.31496062992125984"/>
      <pageSetup paperSize="9" scale="81" orientation="landscape" r:id="rId2"/>
      <headerFooter>
        <oddHeader>&amp;L&amp;F&amp;R&amp;A</oddHeader>
        <oddFooter>&amp;R&amp;Z&amp;F</oddFooter>
      </headerFooter>
    </customSheetView>
  </customSheetViews>
  <mergeCells count="1">
    <mergeCell ref="C12:G12"/>
  </mergeCells>
  <phoneticPr fontId="2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landscape" r:id="rId3"/>
  <headerFooter>
    <oddHeader>&amp;LANEXO I: CÁLCULOS DEL IMPACTO PROMEDIO DE LA NUEVA METODOLOGÍA DE PEAJES SOBRE LOS CLIENTES&amp;R&amp;A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4"/>
  <sheetViews>
    <sheetView showGridLines="0" zoomScale="90" zoomScaleNormal="90" workbookViewId="0">
      <selection activeCell="AV16" sqref="AV16"/>
    </sheetView>
  </sheetViews>
  <sheetFormatPr baseColWidth="10" defaultColWidth="11.42578125" defaultRowHeight="16.5"/>
  <cols>
    <col min="1" max="1" width="5.85546875" style="216" customWidth="1"/>
    <col min="2" max="2" width="16.5703125" style="216" bestFit="1" customWidth="1"/>
    <col min="3" max="3" width="3.28515625" style="216" bestFit="1" customWidth="1"/>
    <col min="4" max="4" width="15.28515625" style="216" customWidth="1"/>
    <col min="5" max="16384" width="11.42578125" style="216"/>
  </cols>
  <sheetData>
    <row r="1" spans="2:12" ht="18.75">
      <c r="B1" s="243" t="s">
        <v>189</v>
      </c>
      <c r="C1" s="215"/>
    </row>
    <row r="3" spans="2:12">
      <c r="B3" s="217" t="s">
        <v>157</v>
      </c>
      <c r="E3" s="218">
        <v>2020</v>
      </c>
      <c r="F3" s="218" t="s">
        <v>158</v>
      </c>
      <c r="G3" s="218" t="s">
        <v>159</v>
      </c>
      <c r="H3" s="218" t="s">
        <v>160</v>
      </c>
      <c r="I3" s="218" t="s">
        <v>161</v>
      </c>
      <c r="J3" s="218" t="s">
        <v>162</v>
      </c>
      <c r="K3" s="218" t="s">
        <v>163</v>
      </c>
      <c r="L3" s="219" t="s">
        <v>164</v>
      </c>
    </row>
    <row r="4" spans="2:12">
      <c r="B4" s="220" t="s">
        <v>165</v>
      </c>
      <c r="C4" s="221" t="s">
        <v>54</v>
      </c>
      <c r="D4" s="221" t="s">
        <v>166</v>
      </c>
      <c r="E4" s="222">
        <v>243.92</v>
      </c>
      <c r="F4" s="222">
        <v>210.38</v>
      </c>
      <c r="G4" s="222">
        <v>179.35</v>
      </c>
      <c r="H4" s="222">
        <v>158.63</v>
      </c>
      <c r="I4" s="222">
        <v>140.28</v>
      </c>
      <c r="J4" s="222">
        <v>121.18</v>
      </c>
      <c r="K4" s="222">
        <v>115.78</v>
      </c>
      <c r="L4" s="244">
        <f>AVERAGE(E4:K4)</f>
        <v>167.07428571428571</v>
      </c>
    </row>
    <row r="5" spans="2:12">
      <c r="B5" s="220" t="s">
        <v>167</v>
      </c>
      <c r="C5" s="221" t="s">
        <v>54</v>
      </c>
      <c r="D5" s="221" t="s">
        <v>11</v>
      </c>
      <c r="E5" s="222">
        <v>148.72</v>
      </c>
      <c r="F5" s="222">
        <v>129.36000000000001</v>
      </c>
      <c r="G5" s="222">
        <v>110.86</v>
      </c>
      <c r="H5" s="222">
        <v>97.99</v>
      </c>
      <c r="I5" s="222">
        <v>86.77</v>
      </c>
      <c r="J5" s="222">
        <v>75.040000000000006</v>
      </c>
      <c r="K5" s="222">
        <v>73.400000000000006</v>
      </c>
      <c r="L5" s="244">
        <f>AVERAGE(E5:K5)</f>
        <v>103.16285714285713</v>
      </c>
    </row>
    <row r="6" spans="2:12">
      <c r="B6" s="220" t="s">
        <v>168</v>
      </c>
      <c r="C6" s="221" t="s">
        <v>91</v>
      </c>
      <c r="D6" s="221" t="s">
        <v>12</v>
      </c>
      <c r="E6" s="221">
        <v>2.66127E-2</v>
      </c>
      <c r="F6" s="221">
        <v>2.6227199999999999E-2</v>
      </c>
      <c r="G6" s="221">
        <v>2.56329E-2</v>
      </c>
      <c r="H6" s="221">
        <v>2.4962399999999999E-2</v>
      </c>
      <c r="I6" s="221">
        <v>2.4570700000000001E-2</v>
      </c>
      <c r="J6" s="221">
        <v>2.4344399999999999E-2</v>
      </c>
      <c r="K6" s="221">
        <v>2.3923199999999999E-2</v>
      </c>
      <c r="L6" s="245">
        <f>AVERAGE(E6:K6)</f>
        <v>2.518192857142857E-2</v>
      </c>
    </row>
    <row r="8" spans="2:12">
      <c r="B8" s="217" t="s">
        <v>169</v>
      </c>
      <c r="C8" s="223"/>
    </row>
    <row r="9" spans="2:12">
      <c r="B9" s="224" t="s">
        <v>170</v>
      </c>
      <c r="C9" s="225"/>
      <c r="D9" s="225"/>
      <c r="E9" s="218">
        <v>2020</v>
      </c>
      <c r="F9" s="218" t="s">
        <v>158</v>
      </c>
      <c r="G9" s="218" t="s">
        <v>159</v>
      </c>
      <c r="H9" s="218" t="s">
        <v>160</v>
      </c>
      <c r="I9" s="218" t="s">
        <v>161</v>
      </c>
      <c r="J9" s="218" t="s">
        <v>162</v>
      </c>
      <c r="K9" s="218" t="s">
        <v>163</v>
      </c>
      <c r="L9" s="219" t="s">
        <v>164</v>
      </c>
    </row>
    <row r="10" spans="2:12">
      <c r="B10" s="221" t="s">
        <v>127</v>
      </c>
      <c r="C10" s="221" t="s">
        <v>54</v>
      </c>
      <c r="D10" s="221" t="s">
        <v>171</v>
      </c>
      <c r="E10" s="222">
        <v>0.50800000000000001</v>
      </c>
      <c r="F10" s="222">
        <v>0.502</v>
      </c>
      <c r="G10" s="222">
        <v>0.46</v>
      </c>
      <c r="H10" s="222">
        <v>0.42299999999999999</v>
      </c>
      <c r="I10" s="222">
        <v>0.38300000000000001</v>
      </c>
      <c r="J10" s="222">
        <v>0.34300000000000003</v>
      </c>
      <c r="K10" s="222">
        <v>0.33800000000000002</v>
      </c>
      <c r="L10" s="244">
        <f>AVERAGE(E10:K10)</f>
        <v>0.42242857142857143</v>
      </c>
    </row>
    <row r="11" spans="2:12">
      <c r="B11" s="221" t="s">
        <v>128</v>
      </c>
      <c r="C11" s="221" t="s">
        <v>54</v>
      </c>
      <c r="D11" s="221" t="s">
        <v>171</v>
      </c>
      <c r="E11" s="222">
        <v>2.6749999999999998</v>
      </c>
      <c r="F11" s="222">
        <v>2.6459999999999999</v>
      </c>
      <c r="G11" s="222">
        <v>2.423</v>
      </c>
      <c r="H11" s="222">
        <v>2.23</v>
      </c>
      <c r="I11" s="222">
        <v>2.0190000000000001</v>
      </c>
      <c r="J11" s="222">
        <v>1.8089999999999999</v>
      </c>
      <c r="K11" s="222">
        <v>1.7809999999999999</v>
      </c>
      <c r="L11" s="244">
        <f t="shared" ref="L11:L32" si="0">AVERAGE(E11:K11)</f>
        <v>2.226142857142857</v>
      </c>
    </row>
    <row r="12" spans="2:12">
      <c r="B12" s="221" t="s">
        <v>172</v>
      </c>
      <c r="C12" s="221" t="s">
        <v>54</v>
      </c>
      <c r="D12" s="221" t="s">
        <v>171</v>
      </c>
      <c r="E12" s="222">
        <v>13.936999999999999</v>
      </c>
      <c r="F12" s="222">
        <v>13.792</v>
      </c>
      <c r="G12" s="222">
        <v>12.634</v>
      </c>
      <c r="H12" s="222">
        <v>11.628</v>
      </c>
      <c r="I12" s="222">
        <v>10.523999999999999</v>
      </c>
      <c r="J12" s="222">
        <v>9.4309999999999992</v>
      </c>
      <c r="K12" s="222">
        <v>9.2840000000000007</v>
      </c>
      <c r="L12" s="244">
        <f t="shared" si="0"/>
        <v>11.604285714285714</v>
      </c>
    </row>
    <row r="13" spans="2:12">
      <c r="B13" s="221" t="s">
        <v>173</v>
      </c>
      <c r="C13" s="221" t="s">
        <v>54</v>
      </c>
      <c r="D13" s="221" t="s">
        <v>171</v>
      </c>
      <c r="E13" s="222">
        <v>45.389000000000003</v>
      </c>
      <c r="F13" s="222">
        <v>44.908000000000001</v>
      </c>
      <c r="G13" s="222">
        <v>41.134999999999998</v>
      </c>
      <c r="H13" s="222">
        <v>37.859000000000002</v>
      </c>
      <c r="I13" s="222">
        <v>34.268000000000001</v>
      </c>
      <c r="J13" s="222">
        <v>30.709</v>
      </c>
      <c r="K13" s="222">
        <v>30.23</v>
      </c>
      <c r="L13" s="244">
        <f t="shared" si="0"/>
        <v>37.785428571428568</v>
      </c>
    </row>
    <row r="14" spans="2:12">
      <c r="B14" s="221" t="s">
        <v>174</v>
      </c>
      <c r="C14" s="221" t="s">
        <v>54</v>
      </c>
      <c r="D14" s="221" t="s">
        <v>171</v>
      </c>
      <c r="E14" s="222">
        <v>221.92699999999999</v>
      </c>
      <c r="F14" s="222">
        <v>219.017</v>
      </c>
      <c r="G14" s="222">
        <v>200.465</v>
      </c>
      <c r="H14" s="222">
        <v>184.47900000000001</v>
      </c>
      <c r="I14" s="222">
        <v>167.00200000000001</v>
      </c>
      <c r="J14" s="222">
        <v>149.68</v>
      </c>
      <c r="K14" s="222">
        <v>147.339</v>
      </c>
      <c r="L14" s="244">
        <f t="shared" si="0"/>
        <v>184.2727142857143</v>
      </c>
    </row>
    <row r="15" spans="2:12">
      <c r="B15" s="221" t="s">
        <v>175</v>
      </c>
      <c r="C15" s="221" t="s">
        <v>54</v>
      </c>
      <c r="D15" s="221" t="s">
        <v>171</v>
      </c>
      <c r="E15" s="226">
        <v>1110.8430000000001</v>
      </c>
      <c r="F15" s="226">
        <v>1096.2840000000001</v>
      </c>
      <c r="G15" s="226">
        <v>1003.144</v>
      </c>
      <c r="H15" s="226">
        <v>922.83699999999999</v>
      </c>
      <c r="I15" s="226">
        <v>835.12699999999995</v>
      </c>
      <c r="J15" s="226">
        <v>748.26800000000003</v>
      </c>
      <c r="K15" s="226">
        <v>736.37900000000002</v>
      </c>
      <c r="L15" s="244">
        <f t="shared" si="0"/>
        <v>921.84028571428576</v>
      </c>
    </row>
    <row r="16" spans="2:12">
      <c r="B16" s="221" t="s">
        <v>176</v>
      </c>
      <c r="C16" s="221" t="s">
        <v>54</v>
      </c>
      <c r="D16" s="221" t="s">
        <v>177</v>
      </c>
      <c r="E16" s="226">
        <v>104.08499999999999</v>
      </c>
      <c r="F16" s="226">
        <v>102.874</v>
      </c>
      <c r="G16" s="226">
        <v>93.242999999999995</v>
      </c>
      <c r="H16" s="226">
        <v>84.87</v>
      </c>
      <c r="I16" s="226">
        <v>76.061999999999998</v>
      </c>
      <c r="J16" s="226">
        <v>67.692999999999998</v>
      </c>
      <c r="K16" s="226">
        <v>66.435000000000002</v>
      </c>
      <c r="L16" s="244">
        <f t="shared" si="0"/>
        <v>85.037428571428563</v>
      </c>
    </row>
    <row r="17" spans="2:12">
      <c r="B17" s="221" t="s">
        <v>178</v>
      </c>
      <c r="C17" s="221" t="s">
        <v>54</v>
      </c>
      <c r="D17" s="221" t="s">
        <v>177</v>
      </c>
      <c r="E17" s="226">
        <v>50.655999999999999</v>
      </c>
      <c r="F17" s="226">
        <v>49.787999999999997</v>
      </c>
      <c r="G17" s="226">
        <v>44.889000000000003</v>
      </c>
      <c r="H17" s="226">
        <v>40.698</v>
      </c>
      <c r="I17" s="226">
        <v>36.372</v>
      </c>
      <c r="J17" s="226">
        <v>32.305999999999997</v>
      </c>
      <c r="K17" s="226">
        <v>31.675000000000001</v>
      </c>
      <c r="L17" s="244">
        <f t="shared" si="0"/>
        <v>40.911999999999999</v>
      </c>
    </row>
    <row r="18" spans="2:12">
      <c r="B18" s="221" t="s">
        <v>179</v>
      </c>
      <c r="C18" s="221" t="s">
        <v>54</v>
      </c>
      <c r="D18" s="221" t="s">
        <v>177</v>
      </c>
      <c r="E18" s="226">
        <v>21.247</v>
      </c>
      <c r="F18" s="226">
        <v>20.733000000000001</v>
      </c>
      <c r="G18" s="226">
        <v>18.631</v>
      </c>
      <c r="H18" s="226">
        <v>16.856999999999999</v>
      </c>
      <c r="I18" s="226">
        <v>15.048999999999999</v>
      </c>
      <c r="J18" s="226">
        <v>13.362</v>
      </c>
      <c r="K18" s="226">
        <v>13.095000000000001</v>
      </c>
      <c r="L18" s="244">
        <f t="shared" si="0"/>
        <v>16.996285714285712</v>
      </c>
    </row>
    <row r="19" spans="2:12">
      <c r="B19" s="221" t="s">
        <v>180</v>
      </c>
      <c r="C19" s="221" t="s">
        <v>54</v>
      </c>
      <c r="D19" s="221" t="s">
        <v>177</v>
      </c>
      <c r="E19" s="226">
        <v>16.721</v>
      </c>
      <c r="F19" s="226">
        <v>15.91</v>
      </c>
      <c r="G19" s="226">
        <v>14.22</v>
      </c>
      <c r="H19" s="226">
        <v>12.845000000000001</v>
      </c>
      <c r="I19" s="226">
        <v>11.497999999999999</v>
      </c>
      <c r="J19" s="226">
        <v>10.239000000000001</v>
      </c>
      <c r="K19" s="226">
        <v>10.077999999999999</v>
      </c>
      <c r="L19" s="244">
        <f t="shared" si="0"/>
        <v>13.073000000000002</v>
      </c>
    </row>
    <row r="20" spans="2:12">
      <c r="B20" s="221" t="s">
        <v>181</v>
      </c>
      <c r="C20" s="221" t="s">
        <v>54</v>
      </c>
      <c r="D20" s="221" t="s">
        <v>177</v>
      </c>
      <c r="E20" s="226">
        <v>11.887</v>
      </c>
      <c r="F20" s="226">
        <v>10.284000000000001</v>
      </c>
      <c r="G20" s="226">
        <v>8.8940000000000001</v>
      </c>
      <c r="H20" s="226">
        <v>7.8689999999999998</v>
      </c>
      <c r="I20" s="226">
        <v>7.0570000000000004</v>
      </c>
      <c r="J20" s="226">
        <v>6.3449999999999998</v>
      </c>
      <c r="K20" s="226">
        <v>6.3449999999999998</v>
      </c>
      <c r="L20" s="244">
        <f t="shared" si="0"/>
        <v>8.3829999999999991</v>
      </c>
    </row>
    <row r="21" spans="2:12">
      <c r="B21" s="227" t="s">
        <v>182</v>
      </c>
      <c r="C21" s="223"/>
      <c r="D21" s="223"/>
      <c r="E21" s="218">
        <v>2020</v>
      </c>
      <c r="F21" s="218" t="s">
        <v>158</v>
      </c>
      <c r="G21" s="218" t="s">
        <v>159</v>
      </c>
      <c r="H21" s="218" t="s">
        <v>160</v>
      </c>
      <c r="I21" s="218" t="s">
        <v>161</v>
      </c>
      <c r="J21" s="218" t="s">
        <v>162</v>
      </c>
      <c r="K21" s="218" t="s">
        <v>163</v>
      </c>
      <c r="L21" s="219" t="s">
        <v>164</v>
      </c>
    </row>
    <row r="22" spans="2:12">
      <c r="B22" s="221" t="s">
        <v>127</v>
      </c>
      <c r="C22" s="221" t="s">
        <v>91</v>
      </c>
      <c r="D22" s="221" t="s">
        <v>12</v>
      </c>
      <c r="E22" s="228">
        <v>15.654999999999999</v>
      </c>
      <c r="F22" s="228">
        <v>15.59</v>
      </c>
      <c r="G22" s="228">
        <v>14.304</v>
      </c>
      <c r="H22" s="228">
        <v>13.164</v>
      </c>
      <c r="I22" s="228">
        <v>11.909000000000001</v>
      </c>
      <c r="J22" s="228">
        <v>10.664999999999999</v>
      </c>
      <c r="K22" s="228">
        <v>10.499000000000001</v>
      </c>
      <c r="L22" s="247">
        <f t="shared" si="0"/>
        <v>13.112285714285715</v>
      </c>
    </row>
    <row r="23" spans="2:12">
      <c r="B23" s="221" t="s">
        <v>128</v>
      </c>
      <c r="C23" s="221" t="s">
        <v>91</v>
      </c>
      <c r="D23" s="221" t="s">
        <v>12</v>
      </c>
      <c r="E23" s="228">
        <v>16.984999999999999</v>
      </c>
      <c r="F23" s="228">
        <v>16.925000000000001</v>
      </c>
      <c r="G23" s="228">
        <v>15.532</v>
      </c>
      <c r="H23" s="228">
        <v>14.294</v>
      </c>
      <c r="I23" s="228">
        <v>12.93</v>
      </c>
      <c r="J23" s="228">
        <v>11.579000000000001</v>
      </c>
      <c r="K23" s="228">
        <v>11.398999999999999</v>
      </c>
      <c r="L23" s="247">
        <f t="shared" si="0"/>
        <v>14.234857142857143</v>
      </c>
    </row>
    <row r="24" spans="2:12">
      <c r="B24" s="221" t="s">
        <v>172</v>
      </c>
      <c r="C24" s="221" t="s">
        <v>91</v>
      </c>
      <c r="D24" s="221" t="s">
        <v>12</v>
      </c>
      <c r="E24" s="228">
        <v>14.494</v>
      </c>
      <c r="F24" s="228">
        <v>14.465</v>
      </c>
      <c r="G24" s="228">
        <v>13.279</v>
      </c>
      <c r="H24" s="228">
        <v>12.221</v>
      </c>
      <c r="I24" s="228">
        <v>11.053000000000001</v>
      </c>
      <c r="J24" s="228">
        <v>9.8970000000000002</v>
      </c>
      <c r="K24" s="228">
        <v>9.7430000000000003</v>
      </c>
      <c r="L24" s="247">
        <f t="shared" si="0"/>
        <v>12.164571428571429</v>
      </c>
    </row>
    <row r="25" spans="2:12">
      <c r="B25" s="221" t="s">
        <v>173</v>
      </c>
      <c r="C25" s="221" t="s">
        <v>91</v>
      </c>
      <c r="D25" s="221" t="s">
        <v>12</v>
      </c>
      <c r="E25" s="228">
        <v>14.335000000000001</v>
      </c>
      <c r="F25" s="228">
        <v>14.269</v>
      </c>
      <c r="G25" s="228">
        <v>13.087</v>
      </c>
      <c r="H25" s="228">
        <v>12.041</v>
      </c>
      <c r="I25" s="228">
        <v>10.89</v>
      </c>
      <c r="J25" s="228">
        <v>9.7520000000000007</v>
      </c>
      <c r="K25" s="228">
        <v>9.5990000000000002</v>
      </c>
      <c r="L25" s="247">
        <f t="shared" si="0"/>
        <v>11.996142857142857</v>
      </c>
    </row>
    <row r="26" spans="2:12">
      <c r="B26" s="221" t="s">
        <v>174</v>
      </c>
      <c r="C26" s="221" t="s">
        <v>91</v>
      </c>
      <c r="D26" s="221" t="s">
        <v>12</v>
      </c>
      <c r="E26" s="228">
        <v>14.445</v>
      </c>
      <c r="F26" s="228">
        <v>14.378</v>
      </c>
      <c r="G26" s="228">
        <v>13.177</v>
      </c>
      <c r="H26" s="228">
        <v>12.114000000000001</v>
      </c>
      <c r="I26" s="228">
        <v>10.948</v>
      </c>
      <c r="J26" s="228">
        <v>9.798</v>
      </c>
      <c r="K26" s="228">
        <v>9.641</v>
      </c>
      <c r="L26" s="247">
        <f t="shared" si="0"/>
        <v>12.071571428571431</v>
      </c>
    </row>
    <row r="27" spans="2:12">
      <c r="B27" s="221" t="s">
        <v>175</v>
      </c>
      <c r="C27" s="221" t="s">
        <v>91</v>
      </c>
      <c r="D27" s="221" t="s">
        <v>12</v>
      </c>
      <c r="E27" s="228">
        <v>8.702</v>
      </c>
      <c r="F27" s="228">
        <v>8.6140000000000008</v>
      </c>
      <c r="G27" s="228">
        <v>7.8410000000000002</v>
      </c>
      <c r="H27" s="228">
        <v>7.165</v>
      </c>
      <c r="I27" s="228">
        <v>6.444</v>
      </c>
      <c r="J27" s="228">
        <v>5.7450000000000001</v>
      </c>
      <c r="K27" s="228">
        <v>5.6379999999999999</v>
      </c>
      <c r="L27" s="247">
        <f t="shared" si="0"/>
        <v>7.1641428571428571</v>
      </c>
    </row>
    <row r="28" spans="2:12">
      <c r="B28" s="221" t="s">
        <v>176</v>
      </c>
      <c r="C28" s="221" t="s">
        <v>91</v>
      </c>
      <c r="D28" s="221" t="s">
        <v>12</v>
      </c>
      <c r="E28" s="228">
        <v>1.0900000000000001</v>
      </c>
      <c r="F28" s="228">
        <v>1</v>
      </c>
      <c r="G28" s="228">
        <v>0.88800000000000001</v>
      </c>
      <c r="H28" s="228">
        <v>0.80800000000000005</v>
      </c>
      <c r="I28" s="228">
        <v>0.73</v>
      </c>
      <c r="J28" s="228">
        <v>0.65400000000000003</v>
      </c>
      <c r="K28" s="228">
        <v>0.64200000000000002</v>
      </c>
      <c r="L28" s="247">
        <f t="shared" si="0"/>
        <v>0.83028571428571429</v>
      </c>
    </row>
    <row r="29" spans="2:12">
      <c r="B29" s="221" t="s">
        <v>178</v>
      </c>
      <c r="C29" s="221" t="s">
        <v>91</v>
      </c>
      <c r="D29" s="221" t="s">
        <v>12</v>
      </c>
      <c r="E29" s="228">
        <v>0.70599999999999996</v>
      </c>
      <c r="F29" s="228">
        <v>0.63200000000000001</v>
      </c>
      <c r="G29" s="228">
        <v>0.55600000000000005</v>
      </c>
      <c r="H29" s="228">
        <v>0.504</v>
      </c>
      <c r="I29" s="228">
        <v>0.45500000000000002</v>
      </c>
      <c r="J29" s="228">
        <v>0.40899999999999997</v>
      </c>
      <c r="K29" s="228">
        <v>0.40100000000000002</v>
      </c>
      <c r="L29" s="247">
        <f t="shared" si="0"/>
        <v>0.52328571428571435</v>
      </c>
    </row>
    <row r="30" spans="2:12">
      <c r="B30" s="221" t="s">
        <v>179</v>
      </c>
      <c r="C30" s="221" t="s">
        <v>91</v>
      </c>
      <c r="D30" s="221" t="s">
        <v>12</v>
      </c>
      <c r="E30" s="228">
        <v>0.48</v>
      </c>
      <c r="F30" s="228">
        <v>0.41699999999999998</v>
      </c>
      <c r="G30" s="228">
        <v>0.36299999999999999</v>
      </c>
      <c r="H30" s="228">
        <v>0.32900000000000001</v>
      </c>
      <c r="I30" s="228">
        <v>0.29799999999999999</v>
      </c>
      <c r="J30" s="228">
        <v>0.26800000000000002</v>
      </c>
      <c r="K30" s="228">
        <v>0.26300000000000001</v>
      </c>
      <c r="L30" s="247">
        <f t="shared" si="0"/>
        <v>0.34542857142857147</v>
      </c>
    </row>
    <row r="31" spans="2:12">
      <c r="B31" s="221" t="s">
        <v>180</v>
      </c>
      <c r="C31" s="221" t="s">
        <v>91</v>
      </c>
      <c r="D31" s="221" t="s">
        <v>12</v>
      </c>
      <c r="E31" s="228">
        <v>0.38700000000000001</v>
      </c>
      <c r="F31" s="228">
        <v>0.33400000000000002</v>
      </c>
      <c r="G31" s="228">
        <v>0.29099999999999998</v>
      </c>
      <c r="H31" s="228">
        <v>0.26500000000000001</v>
      </c>
      <c r="I31" s="228">
        <v>0.24</v>
      </c>
      <c r="J31" s="228">
        <v>0.217</v>
      </c>
      <c r="K31" s="228">
        <v>0.21199999999999999</v>
      </c>
      <c r="L31" s="247">
        <f t="shared" si="0"/>
        <v>0.27800000000000002</v>
      </c>
    </row>
    <row r="32" spans="2:12">
      <c r="B32" s="221" t="s">
        <v>181</v>
      </c>
      <c r="C32" s="221" t="s">
        <v>91</v>
      </c>
      <c r="D32" s="221" t="s">
        <v>12</v>
      </c>
      <c r="E32" s="228">
        <v>9.0999999999999998E-2</v>
      </c>
      <c r="F32" s="228">
        <v>7.9000000000000001E-2</v>
      </c>
      <c r="G32" s="228">
        <v>6.9000000000000006E-2</v>
      </c>
      <c r="H32" s="228">
        <v>6.2E-2</v>
      </c>
      <c r="I32" s="228">
        <v>5.7000000000000002E-2</v>
      </c>
      <c r="J32" s="228">
        <v>5.1999999999999998E-2</v>
      </c>
      <c r="K32" s="228">
        <v>0.05</v>
      </c>
      <c r="L32" s="247">
        <f t="shared" si="0"/>
        <v>6.5714285714285711E-2</v>
      </c>
    </row>
    <row r="35" spans="3:13">
      <c r="C35" s="217" t="s">
        <v>183</v>
      </c>
      <c r="E35" s="218">
        <v>2020</v>
      </c>
      <c r="F35" s="218" t="s">
        <v>158</v>
      </c>
      <c r="G35" s="218" t="s">
        <v>159</v>
      </c>
      <c r="H35" s="218" t="s">
        <v>160</v>
      </c>
      <c r="I35" s="218" t="s">
        <v>161</v>
      </c>
      <c r="J35" s="218" t="s">
        <v>162</v>
      </c>
      <c r="K35" s="218" t="s">
        <v>163</v>
      </c>
      <c r="L35" s="219" t="s">
        <v>164</v>
      </c>
    </row>
    <row r="36" spans="3:13">
      <c r="C36" s="221" t="s">
        <v>54</v>
      </c>
      <c r="D36" s="221" t="s">
        <v>11</v>
      </c>
      <c r="E36" s="221">
        <v>358.71</v>
      </c>
      <c r="F36" s="221">
        <v>343.45</v>
      </c>
      <c r="G36" s="221">
        <v>320.73</v>
      </c>
      <c r="H36" s="221">
        <v>298.64999999999998</v>
      </c>
      <c r="I36" s="221">
        <v>281.14</v>
      </c>
      <c r="J36" s="221">
        <v>268.83</v>
      </c>
      <c r="K36" s="221">
        <v>247.38</v>
      </c>
      <c r="L36" s="244">
        <f t="shared" ref="L36:L37" si="1">AVERAGE(E36:K36)</f>
        <v>302.69857142857143</v>
      </c>
    </row>
    <row r="37" spans="3:13">
      <c r="C37" s="221" t="s">
        <v>91</v>
      </c>
      <c r="D37" s="221" t="s">
        <v>12</v>
      </c>
      <c r="E37" s="221">
        <v>0.15204000000000001</v>
      </c>
      <c r="F37" s="221">
        <v>0.11334</v>
      </c>
      <c r="G37" s="221">
        <v>9.6909999999999996E-2</v>
      </c>
      <c r="H37" s="221">
        <v>9.1649999999999995E-2</v>
      </c>
      <c r="I37" s="221">
        <v>8.8599999999999998E-2</v>
      </c>
      <c r="J37" s="221">
        <v>8.6730000000000002E-2</v>
      </c>
      <c r="K37" s="221">
        <v>8.3229999999999998E-2</v>
      </c>
      <c r="L37" s="248">
        <f t="shared" si="1"/>
        <v>0.10178571428571428</v>
      </c>
    </row>
    <row r="38" spans="3:13">
      <c r="C38" s="223"/>
      <c r="D38" s="223"/>
      <c r="E38" s="223"/>
      <c r="F38" s="223"/>
      <c r="G38" s="223"/>
      <c r="H38" s="223"/>
      <c r="I38" s="223"/>
      <c r="J38" s="223"/>
      <c r="K38" s="223"/>
      <c r="L38" s="223"/>
      <c r="M38" s="223"/>
    </row>
    <row r="39" spans="3:13">
      <c r="C39" s="217" t="s">
        <v>184</v>
      </c>
    </row>
    <row r="40" spans="3:13">
      <c r="C40" s="221" t="s">
        <v>91</v>
      </c>
      <c r="D40" s="221" t="s">
        <v>12</v>
      </c>
      <c r="E40" s="221">
        <v>0.26106000000000001</v>
      </c>
      <c r="F40" s="221">
        <v>0.23427999999999999</v>
      </c>
      <c r="G40" s="221">
        <v>0.19064999999999999</v>
      </c>
      <c r="H40" s="221">
        <v>0.13153000000000001</v>
      </c>
      <c r="I40" s="221">
        <v>9.1850000000000001E-2</v>
      </c>
      <c r="J40" s="221">
        <v>6.1670000000000003E-2</v>
      </c>
      <c r="K40" s="221">
        <v>6.0569999999999999E-2</v>
      </c>
      <c r="L40" s="248">
        <f t="shared" ref="L40" si="2">AVERAGE(E40:K40)</f>
        <v>0.14737285714285714</v>
      </c>
    </row>
    <row r="42" spans="3:13">
      <c r="C42" s="217" t="s">
        <v>185</v>
      </c>
      <c r="E42" s="218">
        <v>2020</v>
      </c>
      <c r="F42" s="218" t="s">
        <v>158</v>
      </c>
      <c r="G42" s="218" t="s">
        <v>159</v>
      </c>
      <c r="H42" s="218" t="s">
        <v>160</v>
      </c>
      <c r="I42" s="218" t="s">
        <v>161</v>
      </c>
      <c r="J42" s="218" t="s">
        <v>162</v>
      </c>
      <c r="K42" s="218" t="s">
        <v>163</v>
      </c>
      <c r="L42" s="246" t="s">
        <v>164</v>
      </c>
    </row>
    <row r="43" spans="3:13">
      <c r="C43" s="221" t="s">
        <v>54</v>
      </c>
      <c r="D43" s="221" t="s">
        <v>11</v>
      </c>
      <c r="E43" s="221">
        <v>314.68</v>
      </c>
      <c r="F43" s="221">
        <v>298.33999999999997</v>
      </c>
      <c r="G43" s="221">
        <v>278.19</v>
      </c>
      <c r="H43" s="221">
        <v>259.85000000000002</v>
      </c>
      <c r="I43" s="221">
        <v>241.07</v>
      </c>
      <c r="J43" s="221">
        <v>227.9</v>
      </c>
      <c r="K43" s="221">
        <v>204.4</v>
      </c>
      <c r="L43" s="244">
        <f t="shared" ref="L43:L44" si="3">AVERAGE(E43:K43)</f>
        <v>260.63285714285718</v>
      </c>
    </row>
    <row r="44" spans="3:13">
      <c r="C44" s="221" t="s">
        <v>91</v>
      </c>
      <c r="D44" s="221" t="s">
        <v>12</v>
      </c>
      <c r="E44" s="221">
        <v>0.1195</v>
      </c>
      <c r="F44" s="221">
        <v>9.1240000000000002E-2</v>
      </c>
      <c r="G44" s="221">
        <v>8.1290000000000001E-2</v>
      </c>
      <c r="H44" s="221">
        <v>8.0399999999999999E-2</v>
      </c>
      <c r="I44" s="221">
        <v>7.9549999999999996E-2</v>
      </c>
      <c r="J44" s="221">
        <v>7.8759999999999997E-2</v>
      </c>
      <c r="K44" s="221">
        <v>7.8009999999999996E-2</v>
      </c>
      <c r="L44" s="248">
        <f t="shared" si="3"/>
        <v>8.6964285714285716E-2</v>
      </c>
    </row>
  </sheetData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Header>&amp;LANEXO II: CÁLCULO DEL EFECTO DE LA EVOLUCIÓN DE LOS PEAJES EN EL PERIODO 2020-2026&amp;R&amp;A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30"/>
  <sheetViews>
    <sheetView showGridLines="0" zoomScale="90" zoomScaleNormal="90" workbookViewId="0">
      <selection activeCell="AV16" sqref="AV16"/>
    </sheetView>
  </sheetViews>
  <sheetFormatPr baseColWidth="10" defaultRowHeight="16.5"/>
  <cols>
    <col min="1" max="1" width="9.42578125" customWidth="1"/>
    <col min="2" max="2" width="23.5703125" bestFit="1" customWidth="1"/>
    <col min="3" max="3" width="10.85546875" customWidth="1"/>
    <col min="4" max="4" width="19.85546875" customWidth="1"/>
    <col min="5" max="5" width="9.42578125" customWidth="1"/>
    <col min="6" max="6" width="16.42578125" hidden="1" customWidth="1"/>
    <col min="7" max="7" width="9.5703125" customWidth="1"/>
    <col min="8" max="8" width="9.42578125" bestFit="1" customWidth="1"/>
    <col min="9" max="9" width="9" hidden="1" customWidth="1"/>
    <col min="10" max="10" width="13.28515625" hidden="1" customWidth="1"/>
  </cols>
  <sheetData>
    <row r="2" spans="2:10" s="236" customFormat="1" ht="33">
      <c r="B2" s="237" t="s">
        <v>89</v>
      </c>
      <c r="C2" s="237" t="s">
        <v>39</v>
      </c>
      <c r="D2" s="237" t="s">
        <v>141</v>
      </c>
      <c r="E2" s="237" t="s">
        <v>188</v>
      </c>
      <c r="F2" s="237" t="s">
        <v>140</v>
      </c>
      <c r="G2" s="237" t="s">
        <v>187</v>
      </c>
      <c r="H2" s="237" t="s">
        <v>186</v>
      </c>
      <c r="I2" s="237" t="s">
        <v>138</v>
      </c>
      <c r="J2" s="237" t="s">
        <v>139</v>
      </c>
    </row>
    <row r="3" spans="2:10">
      <c r="B3" s="195" t="s">
        <v>70</v>
      </c>
      <c r="C3" s="196">
        <f>'Grupo 2 Promedio'!B10</f>
        <v>457</v>
      </c>
      <c r="D3" s="4" t="s">
        <v>155</v>
      </c>
      <c r="E3" s="238" t="str">
        <f>'Grupo 2 Promedio'!U10</f>
        <v>D.5</v>
      </c>
      <c r="F3" s="112">
        <f>'Grupo 2 Promedio'!AZ10</f>
        <v>2760.2283492496526</v>
      </c>
      <c r="G3" s="229">
        <f>'Grupo 2 Promedio'!BA10</f>
        <v>0.46403804056657649</v>
      </c>
      <c r="H3" s="241">
        <f>'Grupo 2 Promedio'!BB10</f>
        <v>6.0398869786644465</v>
      </c>
      <c r="I3" s="4">
        <v>6</v>
      </c>
      <c r="J3" s="198">
        <f>F3*I3</f>
        <v>16561.370095497914</v>
      </c>
    </row>
    <row r="4" spans="2:10">
      <c r="B4" s="195" t="s">
        <v>71</v>
      </c>
      <c r="C4" s="196">
        <f>'Grupo 2 Promedio'!B11</f>
        <v>2234</v>
      </c>
      <c r="D4" s="4" t="s">
        <v>155</v>
      </c>
      <c r="E4" s="238" t="str">
        <f>'Grupo 2 Promedio'!U11</f>
        <v>D.6</v>
      </c>
      <c r="F4" s="112">
        <f>'Grupo 2 Promedio'!AZ11</f>
        <v>19588.020749702526</v>
      </c>
      <c r="G4" s="229">
        <f>'Grupo 2 Promedio'!BA11</f>
        <v>1.5960348277056027</v>
      </c>
      <c r="H4" s="241">
        <f>'Grupo 2 Promedio'!BB11</f>
        <v>8.7681382048802732</v>
      </c>
      <c r="I4" s="4">
        <v>6</v>
      </c>
      <c r="J4" s="198">
        <f t="shared" ref="J4:J16" si="0">F4*I4</f>
        <v>117528.12449821515</v>
      </c>
    </row>
    <row r="5" spans="2:10">
      <c r="B5" s="195" t="s">
        <v>72</v>
      </c>
      <c r="C5" s="196">
        <f>'Grupo 2 Promedio'!B12</f>
        <v>12157</v>
      </c>
      <c r="D5" s="4" t="s">
        <v>155</v>
      </c>
      <c r="E5" s="238" t="str">
        <f>'Grupo 2 Promedio'!U12</f>
        <v>D.7</v>
      </c>
      <c r="F5" s="112">
        <f>'Grupo 2 Promedio'!AZ12</f>
        <v>17439.014702224667</v>
      </c>
      <c r="G5" s="229">
        <f>'Grupo 2 Promedio'!BA12</f>
        <v>0.33495957313864133</v>
      </c>
      <c r="H5" s="241">
        <f>'Grupo 2 Promedio'!BB12</f>
        <v>1.4344834006929883</v>
      </c>
      <c r="I5" s="4">
        <v>6</v>
      </c>
      <c r="J5" s="198">
        <f t="shared" si="0"/>
        <v>104634.088213348</v>
      </c>
    </row>
    <row r="6" spans="2:10">
      <c r="B6" s="195" t="s">
        <v>73</v>
      </c>
      <c r="C6" s="196">
        <f>'Grupo 2 Promedio'!B13</f>
        <v>49046</v>
      </c>
      <c r="D6" s="4" t="s">
        <v>155</v>
      </c>
      <c r="E6" s="238" t="str">
        <f>'Grupo 2 Promedio'!U13</f>
        <v>D.8</v>
      </c>
      <c r="F6" s="112">
        <f>'Grupo 2 Promedio'!AZ13</f>
        <v>-1042.7827647445956</v>
      </c>
      <c r="G6" s="229">
        <f>'Grupo 2 Promedio'!BA13</f>
        <v>-5.303282558940952E-3</v>
      </c>
      <c r="H6" s="241">
        <f>'Grupo 2 Promedio'!BB13</f>
        <v>-2.126132130539915E-2</v>
      </c>
      <c r="I6" s="4">
        <v>6</v>
      </c>
      <c r="J6" s="198">
        <f t="shared" si="0"/>
        <v>-6256.6965884675737</v>
      </c>
    </row>
    <row r="7" spans="2:10">
      <c r="B7" s="195" t="s">
        <v>74</v>
      </c>
      <c r="C7" s="196">
        <f>'Grupo 2 Promedio'!B14</f>
        <v>206507</v>
      </c>
      <c r="D7" s="4" t="s">
        <v>155</v>
      </c>
      <c r="E7" s="238" t="str">
        <f>'Grupo 2 Promedio'!U14</f>
        <v>D.10</v>
      </c>
      <c r="F7" s="112">
        <f>'Grupo 2 Promedio'!AZ14</f>
        <v>-185245.31546688825</v>
      </c>
      <c r="G7" s="229">
        <f>'Grupo 2 Promedio'!BA14</f>
        <v>-0.23968666259878599</v>
      </c>
      <c r="H7" s="241">
        <f>'Grupo 2 Promedio'!BB14</f>
        <v>-0.89704133742143499</v>
      </c>
      <c r="I7" s="4">
        <v>6</v>
      </c>
      <c r="J7" s="198">
        <f t="shared" si="0"/>
        <v>-1111471.8928013295</v>
      </c>
    </row>
    <row r="8" spans="2:10" ht="17.25" thickBot="1">
      <c r="B8" s="203" t="s">
        <v>75</v>
      </c>
      <c r="C8" s="204">
        <f>'Grupo 2 Promedio'!B15</f>
        <v>1144703</v>
      </c>
      <c r="D8" s="205" t="s">
        <v>155</v>
      </c>
      <c r="E8" s="239" t="str">
        <f>'Grupo 2 Promedio'!U15</f>
        <v>D.11</v>
      </c>
      <c r="F8" s="206">
        <f>'Grupo 2 Promedio'!AZ15</f>
        <v>-1158400.325843011</v>
      </c>
      <c r="G8" s="231">
        <f>'Grupo 2 Promedio'!BA15</f>
        <v>-0.28962840094444914</v>
      </c>
      <c r="H8" s="235">
        <f>'Grupo 2 Promedio'!BB15</f>
        <v>-1.0119658337953257</v>
      </c>
      <c r="I8" s="205">
        <v>6</v>
      </c>
      <c r="J8" s="207">
        <f t="shared" si="0"/>
        <v>-6950401.9550580662</v>
      </c>
    </row>
    <row r="9" spans="2:10">
      <c r="B9" s="199" t="s">
        <v>65</v>
      </c>
      <c r="C9" s="233">
        <f>'Grupo 3 Promedio'!B10</f>
        <v>2.74</v>
      </c>
      <c r="D9" s="139" t="s">
        <v>155</v>
      </c>
      <c r="E9" s="177" t="str">
        <f>'Grupo 3 Promedio'!U10</f>
        <v>D.1</v>
      </c>
      <c r="F9" s="201">
        <f>'Grupo 3 Promedio'!AZ10</f>
        <v>-65.311086411480062</v>
      </c>
      <c r="G9" s="232">
        <f>'Grupo 3 Promedio'!BA10</f>
        <v>-0.55529677313234871</v>
      </c>
      <c r="H9" s="242">
        <f>'Grupo 3 Promedio'!BB10</f>
        <v>-23.836162923897835</v>
      </c>
      <c r="I9" s="139">
        <v>6</v>
      </c>
      <c r="J9" s="202">
        <f t="shared" si="0"/>
        <v>-391.86651846888037</v>
      </c>
    </row>
    <row r="10" spans="2:10">
      <c r="B10" s="195" t="s">
        <v>66</v>
      </c>
      <c r="C10" s="197">
        <f>'Grupo 3 Promedio'!B11</f>
        <v>9.8190000000000008</v>
      </c>
      <c r="D10" s="4" t="s">
        <v>155</v>
      </c>
      <c r="E10" s="238" t="str">
        <f>'Grupo 3 Promedio'!U11</f>
        <v>D.2</v>
      </c>
      <c r="F10" s="112">
        <f>'Grupo 3 Promedio'!AZ11</f>
        <v>-106.33065544975781</v>
      </c>
      <c r="G10" s="229">
        <f>'Grupo 3 Promedio'!BA11</f>
        <v>-0.33541150564633981</v>
      </c>
      <c r="H10" s="241">
        <f>'Grupo 3 Promedio'!BB11</f>
        <v>-10.829071743533742</v>
      </c>
      <c r="I10" s="4">
        <v>6</v>
      </c>
      <c r="J10" s="198">
        <f t="shared" si="0"/>
        <v>-637.98393269854682</v>
      </c>
    </row>
    <row r="11" spans="2:10">
      <c r="B11" s="195" t="s">
        <v>67</v>
      </c>
      <c r="C11" s="197">
        <f>'Grupo 3 Promedio'!B12</f>
        <v>71.343000000000004</v>
      </c>
      <c r="D11" s="4" t="s">
        <v>155</v>
      </c>
      <c r="E11" s="238" t="str">
        <f>'Grupo 3 Promedio'!U12</f>
        <v>D.4</v>
      </c>
      <c r="F11" s="112">
        <f>'Grupo 3 Promedio'!AZ12</f>
        <v>-383.93490780632396</v>
      </c>
      <c r="G11" s="229">
        <f>'Grupo 3 Promedio'!BA12</f>
        <v>-0.19442140725782367</v>
      </c>
      <c r="H11" s="241">
        <f>'Grupo 3 Promedio'!BB12</f>
        <v>-5.381535789163955</v>
      </c>
      <c r="I11" s="4">
        <v>6</v>
      </c>
      <c r="J11" s="198">
        <f t="shared" si="0"/>
        <v>-2303.6094468379438</v>
      </c>
    </row>
    <row r="12" spans="2:10" ht="17.25" thickBot="1">
      <c r="B12" s="203" t="s">
        <v>68</v>
      </c>
      <c r="C12" s="204">
        <f>'Grupo 3 Promedio'!B13</f>
        <v>475</v>
      </c>
      <c r="D12" s="205" t="s">
        <v>155</v>
      </c>
      <c r="E12" s="239" t="str">
        <f>'Grupo 3 Promedio'!U13</f>
        <v>D.5</v>
      </c>
      <c r="F12" s="206">
        <f>'Grupo 3 Promedio'!AZ13</f>
        <v>1523.0730284170131</v>
      </c>
      <c r="G12" s="231">
        <f>'Grupo 3 Promedio'!BA13</f>
        <v>0.18259851182314432</v>
      </c>
      <c r="H12" s="235">
        <f>'Grupo 3 Promedio'!BB13</f>
        <v>3.2064695335095017</v>
      </c>
      <c r="I12" s="205">
        <v>6</v>
      </c>
      <c r="J12" s="207">
        <f t="shared" si="0"/>
        <v>9138.4381705020787</v>
      </c>
    </row>
    <row r="13" spans="2:10">
      <c r="B13" s="208" t="s">
        <v>144</v>
      </c>
      <c r="C13" s="212">
        <f>'Grupo 3 GNL Promedio'!B10</f>
        <v>2.74</v>
      </c>
      <c r="D13" s="209" t="s">
        <v>155</v>
      </c>
      <c r="E13" s="240" t="str">
        <f>'Grupo 3 GNL Promedio'!T10</f>
        <v>D.1</v>
      </c>
      <c r="F13" s="210">
        <f>'Grupo 3 GNL Promedio'!AN10</f>
        <v>-28.078007831533597</v>
      </c>
      <c r="G13" s="230">
        <f>'Grupo 3 GNL Promedio'!AO10</f>
        <v>-0.37695246670469568</v>
      </c>
      <c r="H13" s="241">
        <f>'Grupo 3 GNL Promedio'!AP10</f>
        <v>-10.24744811369839</v>
      </c>
      <c r="I13" s="209">
        <v>6</v>
      </c>
      <c r="J13" s="211">
        <f t="shared" si="0"/>
        <v>-168.46804698920158</v>
      </c>
    </row>
    <row r="14" spans="2:10">
      <c r="B14" s="195" t="s">
        <v>145</v>
      </c>
      <c r="C14" s="197">
        <f>'Grupo 3 GNL Promedio'!B11</f>
        <v>9.8190000000000008</v>
      </c>
      <c r="D14" s="4" t="s">
        <v>155</v>
      </c>
      <c r="E14" s="238" t="str">
        <f>'Grupo 3 GNL Promedio'!T11</f>
        <v>D.2</v>
      </c>
      <c r="F14" s="112">
        <f>'Grupo 3 GNL Promedio'!AN11</f>
        <v>-17.093234428925058</v>
      </c>
      <c r="G14" s="229">
        <f>'Grupo 3 GNL Promedio'!AO11</f>
        <v>-8.3524968501377903E-2</v>
      </c>
      <c r="H14" s="241">
        <f>'Grupo 3 GNL Promedio'!AP11</f>
        <v>-1.7408325113479037</v>
      </c>
      <c r="I14" s="4">
        <v>6</v>
      </c>
      <c r="J14" s="198">
        <f t="shared" si="0"/>
        <v>-102.55940657355035</v>
      </c>
    </row>
    <row r="15" spans="2:10">
      <c r="B15" s="195" t="s">
        <v>146</v>
      </c>
      <c r="C15" s="197">
        <f>'Grupo 3 GNL Promedio'!B12</f>
        <v>71.343000000000004</v>
      </c>
      <c r="D15" s="4" t="s">
        <v>155</v>
      </c>
      <c r="E15" s="238" t="str">
        <f>'Grupo 3 GNL Promedio'!T12</f>
        <v>D.4</v>
      </c>
      <c r="F15" s="112">
        <f>'Grupo 3 GNL Promedio'!AN12</f>
        <v>166.0571154465506</v>
      </c>
      <c r="G15" s="229">
        <f>'Grupo 3 GNL Promedio'!AO12</f>
        <v>0.12990632315930281</v>
      </c>
      <c r="H15" s="241">
        <f>'Grupo 3 GNL Promedio'!AP12</f>
        <v>2.3275880667556805</v>
      </c>
      <c r="I15" s="4">
        <v>6</v>
      </c>
      <c r="J15" s="198">
        <f t="shared" si="0"/>
        <v>996.34269267930358</v>
      </c>
    </row>
    <row r="16" spans="2:10" ht="17.25" thickBot="1">
      <c r="B16" s="195" t="s">
        <v>147</v>
      </c>
      <c r="C16" s="196">
        <f>'Grupo 3 GNL Promedio'!B13</f>
        <v>475</v>
      </c>
      <c r="D16" s="4" t="s">
        <v>155</v>
      </c>
      <c r="E16" s="238" t="str">
        <f>'Grupo 3 GNL Promedio'!T13</f>
        <v>D.5</v>
      </c>
      <c r="F16" s="112">
        <f>'Grupo 3 GNL Promedio'!AN13</f>
        <v>2547.325028268051</v>
      </c>
      <c r="G16" s="229">
        <f>'Grupo 3 GNL Promedio'!AO13</f>
        <v>0.40322881504643593</v>
      </c>
      <c r="H16" s="241">
        <f>'Grupo 3 GNL Promedio'!AP13</f>
        <v>5.3627895331958957</v>
      </c>
      <c r="I16" s="205">
        <v>6</v>
      </c>
      <c r="J16" s="207">
        <f t="shared" si="0"/>
        <v>15283.950169608306</v>
      </c>
    </row>
    <row r="18" spans="2:10" ht="33">
      <c r="B18" s="237" t="s">
        <v>89</v>
      </c>
      <c r="C18" s="237" t="s">
        <v>39</v>
      </c>
      <c r="D18" s="237" t="s">
        <v>141</v>
      </c>
      <c r="E18" s="237" t="s">
        <v>188</v>
      </c>
      <c r="F18" s="237" t="s">
        <v>140</v>
      </c>
      <c r="G18" s="237" t="s">
        <v>187</v>
      </c>
      <c r="H18" s="237" t="s">
        <v>186</v>
      </c>
    </row>
    <row r="19" spans="2:10">
      <c r="B19" s="199" t="s">
        <v>142</v>
      </c>
      <c r="C19" s="200">
        <f>'Peaje 3.5'!B16</f>
        <v>15000</v>
      </c>
      <c r="D19" s="139" t="s">
        <v>155</v>
      </c>
      <c r="E19" s="177" t="str">
        <f>'Peaje 3.5'!U16</f>
        <v>D.7</v>
      </c>
      <c r="F19" s="112">
        <f>'Peaje 3.5'!AZ16</f>
        <v>1813.2582626107906</v>
      </c>
      <c r="G19" s="229">
        <f>'Peaje 3.5'!BA16</f>
        <v>2.1601234336909528E-2</v>
      </c>
      <c r="H19" s="241">
        <f>'Peaje 3.5'!BB16</f>
        <v>0.12088388417405316</v>
      </c>
      <c r="I19" s="4">
        <v>6</v>
      </c>
      <c r="J19" s="198">
        <f>F19*I19</f>
        <v>10879.549575664743</v>
      </c>
    </row>
    <row r="20" spans="2:10">
      <c r="B20" s="195" t="s">
        <v>142</v>
      </c>
      <c r="C20" s="196">
        <f>'Peaje 3.5'!B17</f>
        <v>15614</v>
      </c>
      <c r="D20" s="4" t="s">
        <v>155</v>
      </c>
      <c r="E20" s="238" t="str">
        <f>'Peaje 3.5'!U17</f>
        <v>D.8</v>
      </c>
      <c r="F20" s="112">
        <f>'Peaje 3.5'!AZ17</f>
        <v>-25112.474304706164</v>
      </c>
      <c r="G20" s="234">
        <f>'Peaje 3.5'!BA17</f>
        <v>-0.28739915876126548</v>
      </c>
      <c r="H20" s="241">
        <f>'Peaje 3.5'!BB17</f>
        <v>-1.6083306202578558</v>
      </c>
      <c r="I20" s="4">
        <v>6</v>
      </c>
      <c r="J20" s="198">
        <f>F20*I20</f>
        <v>-150674.84582823698</v>
      </c>
    </row>
    <row r="21" spans="2:10">
      <c r="B21" s="195" t="s">
        <v>143</v>
      </c>
      <c r="C21" s="196">
        <f>'Peaje 3.5 Nocturno'!B16</f>
        <v>15000</v>
      </c>
      <c r="D21" s="4" t="s">
        <v>155</v>
      </c>
      <c r="E21" s="238" t="str">
        <f>'Peaje 3.5 Nocturno'!U16</f>
        <v>D.7</v>
      </c>
      <c r="F21" s="112">
        <f>'Peaje 3.5 Nocturno'!AZ16</f>
        <v>7829.7836453666387</v>
      </c>
      <c r="G21" s="234">
        <f>'Peaje 3.5 Nocturno'!BA16</f>
        <v>0.10047739883346567</v>
      </c>
      <c r="H21" s="241">
        <f>'Peaje 3.5 Nocturno'!BB16</f>
        <v>0.52198557635777565</v>
      </c>
      <c r="I21" s="4">
        <v>6</v>
      </c>
      <c r="J21" s="198">
        <f>F21*I21</f>
        <v>46978.701872199832</v>
      </c>
    </row>
    <row r="22" spans="2:10" ht="17.25" thickBot="1">
      <c r="B22" s="195" t="s">
        <v>143</v>
      </c>
      <c r="C22" s="196">
        <f>'Peaje 3.5 Nocturno'!B17</f>
        <v>15614</v>
      </c>
      <c r="D22" s="4" t="s">
        <v>155</v>
      </c>
      <c r="E22" s="4" t="str">
        <f>'Peaje 3.5 Nocturno'!U17</f>
        <v>D.8</v>
      </c>
      <c r="F22" s="198">
        <f>'Peaje 3.5 Nocturno'!AZ17</f>
        <v>-18849.672482949522</v>
      </c>
      <c r="G22" s="234">
        <f>'Peaje 3.5 Nocturno'!BA17</f>
        <v>-0.23238041046226501</v>
      </c>
      <c r="H22" s="241">
        <f>'Peaje 3.5 Nocturno'!BB17</f>
        <v>-1.2072289280741342</v>
      </c>
      <c r="I22" s="205">
        <v>6</v>
      </c>
      <c r="J22" s="207">
        <f>F22*I22</f>
        <v>-113098.03489769713</v>
      </c>
    </row>
    <row r="24" spans="2:10" ht="33">
      <c r="B24" s="237" t="s">
        <v>89</v>
      </c>
      <c r="C24" s="237" t="s">
        <v>39</v>
      </c>
      <c r="D24" s="237" t="s">
        <v>141</v>
      </c>
      <c r="E24" s="237" t="s">
        <v>188</v>
      </c>
      <c r="F24" s="237" t="s">
        <v>140</v>
      </c>
      <c r="G24" s="237" t="s">
        <v>187</v>
      </c>
      <c r="H24" s="237" t="s">
        <v>186</v>
      </c>
      <c r="I24" s="237" t="s">
        <v>138</v>
      </c>
      <c r="J24" s="237" t="s">
        <v>139</v>
      </c>
    </row>
    <row r="25" spans="2:10">
      <c r="B25" s="199" t="s">
        <v>148</v>
      </c>
      <c r="C25" s="200">
        <f>'PS GNL Monocliente Promedios G2'!B10</f>
        <v>457</v>
      </c>
      <c r="D25" s="139" t="s">
        <v>155</v>
      </c>
      <c r="E25" s="177" t="str">
        <f>'PS GNL Monocliente Promedios G2'!F10</f>
        <v>D.5</v>
      </c>
      <c r="F25" s="201">
        <f>'PS GNL Monocliente Promedios G2'!AT10</f>
        <v>7492.1165301300225</v>
      </c>
      <c r="G25" s="232">
        <f>'PS GNL Monocliente Promedios G2'!AU10</f>
        <v>0.86032141733476875</v>
      </c>
      <c r="H25" s="242">
        <f>'PS GNL Monocliente Promedios G2'!AV10</f>
        <v>16.394128074682762</v>
      </c>
      <c r="I25" s="139">
        <v>6</v>
      </c>
      <c r="J25" s="202">
        <f>C25*I25</f>
        <v>2742</v>
      </c>
    </row>
    <row r="26" spans="2:10">
      <c r="B26" s="195" t="s">
        <v>149</v>
      </c>
      <c r="C26" s="196">
        <f>'PS GNL Monocliente Promedios G2'!B11</f>
        <v>2234</v>
      </c>
      <c r="D26" s="4" t="s">
        <v>155</v>
      </c>
      <c r="E26" s="238" t="str">
        <f>'PS GNL Monocliente Promedios G2'!F11</f>
        <v>D.6</v>
      </c>
      <c r="F26" s="112">
        <f>'PS GNL Monocliente Promedios G2'!AT11</f>
        <v>25914.734312276745</v>
      </c>
      <c r="G26" s="229">
        <f>'PS GNL Monocliente Promedios G2'!AU11</f>
        <v>0.8133698215272549</v>
      </c>
      <c r="H26" s="241">
        <f>'PS GNL Monocliente Promedios G2'!AV11</f>
        <v>11.600149647393351</v>
      </c>
      <c r="I26" s="4">
        <v>6</v>
      </c>
      <c r="J26" s="198">
        <f>F26*I26</f>
        <v>155488.40587366046</v>
      </c>
    </row>
    <row r="27" spans="2:10">
      <c r="B27" s="195" t="s">
        <v>150</v>
      </c>
      <c r="C27" s="196">
        <f>'PS GNL Monocliente Promedios G2'!B12</f>
        <v>12157</v>
      </c>
      <c r="D27" s="4" t="s">
        <v>155</v>
      </c>
      <c r="E27" s="238" t="str">
        <f>'PS GNL Monocliente Promedios G2'!F12</f>
        <v>D.7</v>
      </c>
      <c r="F27" s="112">
        <f>'PS GNL Monocliente Promedios G2'!AT12</f>
        <v>37143.897301201039</v>
      </c>
      <c r="G27" s="229">
        <f>'PS GNL Monocliente Promedios G2'!AU12</f>
        <v>0.53442874155322195</v>
      </c>
      <c r="H27" s="241">
        <f>'PS GNL Monocliente Promedios G2'!AV12</f>
        <v>3.055350604688742</v>
      </c>
      <c r="I27" s="4">
        <v>6</v>
      </c>
      <c r="J27" s="198">
        <f>F27*I27</f>
        <v>222863.38380720624</v>
      </c>
    </row>
    <row r="28" spans="2:10">
      <c r="B28" s="195" t="s">
        <v>151</v>
      </c>
      <c r="C28" s="196">
        <f>'PS GNL Monocliente Promedios G2'!B13</f>
        <v>49046</v>
      </c>
      <c r="D28" s="4" t="s">
        <v>155</v>
      </c>
      <c r="E28" s="238" t="str">
        <f>'PS GNL Monocliente Promedios G2'!F13</f>
        <v>D.8</v>
      </c>
      <c r="F28" s="112">
        <f>'PS GNL Monocliente Promedios G2'!AT13</f>
        <v>65041.671173196664</v>
      </c>
      <c r="G28" s="229">
        <f>'PS GNL Monocliente Promedios G2'!AU13</f>
        <v>0.33254615378474911</v>
      </c>
      <c r="H28" s="241">
        <f>'PS GNL Monocliente Promedios G2'!AV13</f>
        <v>1.3261361002568335</v>
      </c>
      <c r="I28" s="4">
        <v>6</v>
      </c>
      <c r="J28" s="198">
        <f>F28*I28</f>
        <v>390250.02703917999</v>
      </c>
    </row>
    <row r="29" spans="2:10">
      <c r="B29" s="195" t="s">
        <v>152</v>
      </c>
      <c r="C29" s="196">
        <f>'PS GNL Monocliente Promedios G2'!B14</f>
        <v>206507</v>
      </c>
      <c r="D29" s="4" t="s">
        <v>155</v>
      </c>
      <c r="E29" s="238" t="str">
        <f>'PS GNL Monocliente Promedios G2'!F14</f>
        <v>D.10</v>
      </c>
      <c r="F29" s="112">
        <f>'PS GNL Monocliente Promedios G2'!AT14</f>
        <v>37961.661036076257</v>
      </c>
      <c r="G29" s="229">
        <f>'PS GNL Monocliente Promedios G2'!AU14</f>
        <v>6.4602486227451641E-2</v>
      </c>
      <c r="H29" s="241">
        <f>'PS GNL Monocliente Promedios G2'!AV14</f>
        <v>0.18382747817786438</v>
      </c>
      <c r="I29" s="4">
        <v>6</v>
      </c>
      <c r="J29" s="198">
        <f>F29*I29</f>
        <v>227769.96621645754</v>
      </c>
    </row>
    <row r="30" spans="2:10">
      <c r="B30" s="195" t="s">
        <v>156</v>
      </c>
      <c r="C30" s="196">
        <f>'PS GNL Monocliente Promedios G2'!B15</f>
        <v>1144703</v>
      </c>
      <c r="D30" s="4" t="s">
        <v>155</v>
      </c>
      <c r="E30" s="238" t="str">
        <f>'PS GNL Monocliente Promedios G2'!F15</f>
        <v>D.11</v>
      </c>
      <c r="F30" s="112">
        <f>'PS GNL Monocliente Promedios G2'!AT15</f>
        <v>-205635.51652206108</v>
      </c>
      <c r="G30" s="229">
        <f>'PS GNL Monocliente Promedios G2'!AU15</f>
        <v>-7.2376072442837752E-2</v>
      </c>
      <c r="H30" s="241">
        <f>'PS GNL Monocliente Promedios G2'!AV15</f>
        <v>-0.17964093439264239</v>
      </c>
      <c r="I30" s="4">
        <v>6</v>
      </c>
      <c r="J30" s="198">
        <f t="shared" ref="J30" si="1">F30*I30</f>
        <v>-1233813.0991323665</v>
      </c>
    </row>
  </sheetData>
  <conditionalFormatting sqref="F3:H8 G20:G21 J25:J30 H14:H16 F25:H30 F9:G16 F22:G22 J3:J16 J20:J22 H9:H12 H20:H22">
    <cfRule type="cellIs" dxfId="49" priority="16" operator="greaterThan">
      <formula>0</formula>
    </cfRule>
  </conditionalFormatting>
  <conditionalFormatting sqref="F3:H8 G20:G21 J25:J30 H14:H16 F25:H30 F9:G16 F22:G22 J3:J16 J20:J22 H9:H12 H20:H22">
    <cfRule type="cellIs" dxfId="48" priority="15" operator="lessThan">
      <formula>0</formula>
    </cfRule>
  </conditionalFormatting>
  <conditionalFormatting sqref="F19:F21">
    <cfRule type="cellIs" dxfId="47" priority="12" operator="greaterThan">
      <formula>0</formula>
    </cfRule>
  </conditionalFormatting>
  <conditionalFormatting sqref="F19:F21">
    <cfRule type="cellIs" dxfId="46" priority="11" operator="lessThan">
      <formula>0</formula>
    </cfRule>
  </conditionalFormatting>
  <conditionalFormatting sqref="G19">
    <cfRule type="cellIs" dxfId="45" priority="10" operator="greaterThan">
      <formula>0</formula>
    </cfRule>
  </conditionalFormatting>
  <conditionalFormatting sqref="G19">
    <cfRule type="cellIs" dxfId="44" priority="9" operator="lessThan">
      <formula>0</formula>
    </cfRule>
  </conditionalFormatting>
  <conditionalFormatting sqref="H13">
    <cfRule type="cellIs" dxfId="43" priority="1" operator="lessThan">
      <formula>0</formula>
    </cfRule>
  </conditionalFormatting>
  <conditionalFormatting sqref="H19">
    <cfRule type="cellIs" dxfId="42" priority="8" operator="greaterThan">
      <formula>0</formula>
    </cfRule>
  </conditionalFormatting>
  <conditionalFormatting sqref="H19">
    <cfRule type="cellIs" dxfId="41" priority="7" operator="lessThan">
      <formula>0</formula>
    </cfRule>
  </conditionalFormatting>
  <conditionalFormatting sqref="J19">
    <cfRule type="cellIs" dxfId="40" priority="6" operator="greaterThan">
      <formula>0</formula>
    </cfRule>
  </conditionalFormatting>
  <conditionalFormatting sqref="J19">
    <cfRule type="cellIs" dxfId="39" priority="5" operator="lessThan">
      <formula>0</formula>
    </cfRule>
  </conditionalFormatting>
  <conditionalFormatting sqref="H13">
    <cfRule type="cellIs" dxfId="38" priority="2" operator="greater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&amp;LANEXO II: CÁLCULO DEL EFECTO DE LA EVOLUCIÓN DE LOS PEAJES EN EL PERIODO 2020-2026&amp;R&amp;A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B15"/>
  <sheetViews>
    <sheetView showGridLines="0" topLeftCell="A28" zoomScale="80" zoomScaleNormal="80" workbookViewId="0">
      <selection activeCell="AV16" sqref="AV16"/>
    </sheetView>
  </sheetViews>
  <sheetFormatPr baseColWidth="10" defaultColWidth="11" defaultRowHeight="16.5" outlineLevelCol="1"/>
  <cols>
    <col min="1" max="1" width="2.140625" style="62" customWidth="1"/>
    <col min="2" max="2" width="13" style="61" customWidth="1"/>
    <col min="3" max="3" width="8.140625" style="62" customWidth="1"/>
    <col min="4" max="4" width="10.42578125" style="62" customWidth="1"/>
    <col min="5" max="5" width="8.42578125" style="62" customWidth="1"/>
    <col min="6" max="6" width="13.42578125" style="69" hidden="1" customWidth="1" outlineLevel="1"/>
    <col min="7" max="7" width="10" style="69" hidden="1" customWidth="1" outlineLevel="1"/>
    <col min="8" max="8" width="12.5703125" style="73" hidden="1" customWidth="1" outlineLevel="1"/>
    <col min="9" max="9" width="11.5703125" style="73" hidden="1" customWidth="1" outlineLevel="1"/>
    <col min="10" max="10" width="15.5703125" style="73" customWidth="1" collapsed="1"/>
    <col min="11" max="11" width="13.42578125" style="62" hidden="1" customWidth="1" outlineLevel="1"/>
    <col min="12" max="12" width="14.42578125" style="62" bestFit="1" customWidth="1" collapsed="1"/>
    <col min="13" max="13" width="13.42578125" style="62" hidden="1" customWidth="1" outlineLevel="1"/>
    <col min="14" max="14" width="10" style="62" hidden="1" customWidth="1" outlineLevel="1"/>
    <col min="15" max="15" width="14.140625" style="62" hidden="1" customWidth="1" outlineLevel="1"/>
    <col min="16" max="16" width="12.5703125" style="62" hidden="1" customWidth="1" outlineLevel="1"/>
    <col min="17" max="17" width="15.140625" style="62" bestFit="1" customWidth="1" collapsed="1"/>
    <col min="18" max="18" width="20.42578125" style="62" bestFit="1" customWidth="1"/>
    <col min="19" max="19" width="8.5703125" style="62" customWidth="1"/>
    <col min="20" max="20" width="1.42578125" style="62" customWidth="1"/>
    <col min="21" max="21" width="9" style="62" customWidth="1"/>
    <col min="22" max="22" width="13.42578125" style="62" hidden="1" customWidth="1" outlineLevel="1"/>
    <col min="23" max="23" width="8.5703125" style="62" hidden="1" customWidth="1" outlineLevel="1"/>
    <col min="24" max="24" width="13.85546875" style="62" hidden="1" customWidth="1" outlineLevel="1"/>
    <col min="25" max="25" width="11.5703125" style="62" hidden="1" customWidth="1" outlineLevel="1"/>
    <col min="26" max="26" width="15.5703125" style="62" bestFit="1" customWidth="1" collapsed="1"/>
    <col min="27" max="27" width="9" style="62" hidden="1" customWidth="1" outlineLevel="1"/>
    <col min="28" max="28" width="13.5703125" style="62" bestFit="1" customWidth="1" collapsed="1"/>
    <col min="29" max="32" width="13.42578125" style="62" hidden="1" customWidth="1" outlineLevel="1"/>
    <col min="33" max="33" width="15.28515625" style="62" customWidth="1" collapsed="1"/>
    <col min="34" max="37" width="13.42578125" style="62" hidden="1" customWidth="1" outlineLevel="1"/>
    <col min="38" max="38" width="13.5703125" style="62" bestFit="1" customWidth="1" collapsed="1"/>
    <col min="39" max="39" width="13.42578125" style="62" hidden="1" customWidth="1" outlineLevel="1"/>
    <col min="40" max="40" width="10.7109375" style="62" hidden="1" customWidth="1" outlineLevel="1"/>
    <col min="41" max="41" width="7.42578125" style="62" hidden="1" customWidth="1" outlineLevel="1"/>
    <col min="42" max="42" width="12.5703125" style="62" hidden="1" customWidth="1" outlineLevel="1"/>
    <col min="43" max="43" width="12.42578125" style="62" hidden="1" customWidth="1" outlineLevel="1"/>
    <col min="44" max="44" width="12.5703125" style="62" hidden="1" customWidth="1" outlineLevel="1"/>
    <col min="45" max="45" width="13.5703125" style="62" bestFit="1" customWidth="1" collapsed="1"/>
    <col min="46" max="46" width="20.42578125" style="62" bestFit="1" customWidth="1"/>
    <col min="47" max="47" width="8.42578125" style="62" customWidth="1"/>
    <col min="48" max="48" width="0.7109375" style="62" customWidth="1"/>
    <col min="49" max="49" width="11" style="69" hidden="1" customWidth="1" outlineLevel="1"/>
    <col min="50" max="50" width="12.140625" style="69" hidden="1" customWidth="1" outlineLevel="1"/>
    <col min="51" max="51" width="10.5703125" style="62" hidden="1" customWidth="1" outlineLevel="1"/>
    <col min="52" max="52" width="14.42578125" style="62" bestFit="1" customWidth="1" collapsed="1"/>
    <col min="53" max="53" width="9.42578125" style="62" customWidth="1"/>
    <col min="54" max="54" width="8.42578125" style="62" bestFit="1" customWidth="1"/>
    <col min="55" max="16384" width="11" style="62"/>
  </cols>
  <sheetData>
    <row r="2" spans="2:54" ht="18">
      <c r="B2" s="188" t="s">
        <v>191</v>
      </c>
    </row>
    <row r="3" spans="2:54" ht="20.25">
      <c r="B3" s="189" t="s">
        <v>192</v>
      </c>
    </row>
    <row r="5" spans="2:54">
      <c r="B5" s="115" t="s">
        <v>38</v>
      </c>
      <c r="C5" s="262">
        <v>0.85</v>
      </c>
      <c r="D5" s="263"/>
    </row>
    <row r="6" spans="2:54">
      <c r="B6" s="62"/>
      <c r="F6" s="264" t="s">
        <v>100</v>
      </c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6"/>
      <c r="V6" s="267" t="s">
        <v>101</v>
      </c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  <c r="AQ6" s="268"/>
      <c r="AR6" s="268"/>
      <c r="AS6" s="268"/>
      <c r="AT6" s="268"/>
      <c r="AU6" s="269"/>
    </row>
    <row r="7" spans="2:54">
      <c r="F7" s="270" t="s">
        <v>94</v>
      </c>
      <c r="G7" s="271"/>
      <c r="H7" s="271"/>
      <c r="I7" s="271"/>
      <c r="J7" s="272"/>
      <c r="K7" s="270" t="s">
        <v>95</v>
      </c>
      <c r="L7" s="272"/>
      <c r="M7" s="270" t="s">
        <v>96</v>
      </c>
      <c r="N7" s="271"/>
      <c r="O7" s="271"/>
      <c r="P7" s="271"/>
      <c r="Q7" s="272"/>
      <c r="R7" s="270" t="s">
        <v>99</v>
      </c>
      <c r="S7" s="272"/>
      <c r="V7" s="273" t="s">
        <v>94</v>
      </c>
      <c r="W7" s="274"/>
      <c r="X7" s="274"/>
      <c r="Y7" s="274"/>
      <c r="Z7" s="275"/>
      <c r="AA7" s="273" t="s">
        <v>132</v>
      </c>
      <c r="AB7" s="275"/>
      <c r="AC7" s="273" t="s">
        <v>133</v>
      </c>
      <c r="AD7" s="274"/>
      <c r="AE7" s="274"/>
      <c r="AF7" s="274"/>
      <c r="AG7" s="275"/>
      <c r="AH7" s="273" t="s">
        <v>134</v>
      </c>
      <c r="AI7" s="274"/>
      <c r="AJ7" s="274"/>
      <c r="AK7" s="274"/>
      <c r="AL7" s="275"/>
      <c r="AM7" s="273" t="s">
        <v>104</v>
      </c>
      <c r="AN7" s="274"/>
      <c r="AO7" s="274"/>
      <c r="AP7" s="274"/>
      <c r="AQ7" s="274"/>
      <c r="AR7" s="274"/>
      <c r="AS7" s="275"/>
      <c r="AT7" s="273" t="s">
        <v>99</v>
      </c>
      <c r="AU7" s="275"/>
    </row>
    <row r="8" spans="2:54">
      <c r="B8" s="63" t="s">
        <v>86</v>
      </c>
      <c r="C8" s="135" t="s">
        <v>38</v>
      </c>
      <c r="D8" s="134" t="s">
        <v>88</v>
      </c>
      <c r="F8" s="129" t="s">
        <v>54</v>
      </c>
      <c r="G8" s="75" t="s">
        <v>91</v>
      </c>
      <c r="H8" s="78" t="s">
        <v>54</v>
      </c>
      <c r="I8" s="78" t="s">
        <v>91</v>
      </c>
      <c r="J8" s="79" t="s">
        <v>92</v>
      </c>
      <c r="K8" s="129" t="s">
        <v>54</v>
      </c>
      <c r="L8" s="130" t="s">
        <v>92</v>
      </c>
      <c r="M8" s="129" t="s">
        <v>90</v>
      </c>
      <c r="N8" s="75" t="s">
        <v>91</v>
      </c>
      <c r="O8" s="75" t="s">
        <v>90</v>
      </c>
      <c r="P8" s="75" t="s">
        <v>91</v>
      </c>
      <c r="Q8" s="130" t="s">
        <v>92</v>
      </c>
      <c r="R8" s="257" t="s">
        <v>98</v>
      </c>
      <c r="S8" s="258"/>
      <c r="V8" s="132" t="s">
        <v>54</v>
      </c>
      <c r="W8" s="84" t="s">
        <v>91</v>
      </c>
      <c r="X8" s="85" t="s">
        <v>54</v>
      </c>
      <c r="Y8" s="85" t="s">
        <v>91</v>
      </c>
      <c r="Z8" s="86" t="s">
        <v>92</v>
      </c>
      <c r="AA8" s="181"/>
      <c r="AB8" s="180" t="s">
        <v>92</v>
      </c>
      <c r="AC8" s="132" t="s">
        <v>54</v>
      </c>
      <c r="AD8" s="84" t="s">
        <v>91</v>
      </c>
      <c r="AE8" s="84" t="s">
        <v>54</v>
      </c>
      <c r="AF8" s="84" t="s">
        <v>91</v>
      </c>
      <c r="AG8" s="133" t="s">
        <v>92</v>
      </c>
      <c r="AH8" s="132" t="s">
        <v>54</v>
      </c>
      <c r="AI8" s="84" t="s">
        <v>91</v>
      </c>
      <c r="AJ8" s="84" t="s">
        <v>54</v>
      </c>
      <c r="AK8" s="84" t="s">
        <v>91</v>
      </c>
      <c r="AL8" s="133" t="s">
        <v>92</v>
      </c>
      <c r="AM8" s="132" t="s">
        <v>90</v>
      </c>
      <c r="AN8" s="84" t="s">
        <v>50</v>
      </c>
      <c r="AO8" s="84" t="s">
        <v>91</v>
      </c>
      <c r="AP8" s="84" t="s">
        <v>90</v>
      </c>
      <c r="AQ8" s="84" t="s">
        <v>50</v>
      </c>
      <c r="AR8" s="84" t="s">
        <v>91</v>
      </c>
      <c r="AS8" s="133" t="s">
        <v>92</v>
      </c>
      <c r="AT8" s="259" t="s">
        <v>98</v>
      </c>
      <c r="AU8" s="260"/>
      <c r="AW8" s="131" t="s">
        <v>94</v>
      </c>
      <c r="AX8" s="131" t="s">
        <v>95</v>
      </c>
      <c r="AY8" s="131" t="s">
        <v>96</v>
      </c>
      <c r="AZ8" s="261" t="s">
        <v>92</v>
      </c>
      <c r="BA8" s="261"/>
    </row>
    <row r="9" spans="2:54" s="69" customFormat="1">
      <c r="B9" s="66" t="s">
        <v>87</v>
      </c>
      <c r="C9" s="67" t="s">
        <v>53</v>
      </c>
      <c r="D9" s="68" t="s">
        <v>37</v>
      </c>
      <c r="E9" s="123" t="s">
        <v>89</v>
      </c>
      <c r="F9" s="68" t="s">
        <v>58</v>
      </c>
      <c r="G9" s="68" t="s">
        <v>12</v>
      </c>
      <c r="H9" s="72" t="s">
        <v>93</v>
      </c>
      <c r="I9" s="72" t="s">
        <v>93</v>
      </c>
      <c r="J9" s="72" t="s">
        <v>93</v>
      </c>
      <c r="K9" s="68" t="s">
        <v>58</v>
      </c>
      <c r="L9" s="68" t="s">
        <v>93</v>
      </c>
      <c r="M9" s="68" t="s">
        <v>58</v>
      </c>
      <c r="N9" s="68" t="s">
        <v>12</v>
      </c>
      <c r="O9" s="68" t="s">
        <v>93</v>
      </c>
      <c r="P9" s="68" t="s">
        <v>93</v>
      </c>
      <c r="Q9" s="68" t="s">
        <v>93</v>
      </c>
      <c r="R9" s="68" t="s">
        <v>93</v>
      </c>
      <c r="S9" s="68" t="s">
        <v>12</v>
      </c>
      <c r="U9" s="122" t="s">
        <v>89</v>
      </c>
      <c r="V9" s="68" t="s">
        <v>58</v>
      </c>
      <c r="W9" s="68" t="s">
        <v>12</v>
      </c>
      <c r="X9" s="72" t="s">
        <v>93</v>
      </c>
      <c r="Y9" s="72" t="s">
        <v>93</v>
      </c>
      <c r="Z9" s="72" t="s">
        <v>93</v>
      </c>
      <c r="AA9" s="68" t="s">
        <v>12</v>
      </c>
      <c r="AB9" s="72" t="s">
        <v>93</v>
      </c>
      <c r="AC9" s="68" t="s">
        <v>58</v>
      </c>
      <c r="AD9" s="68" t="s">
        <v>12</v>
      </c>
      <c r="AE9" s="68" t="s">
        <v>93</v>
      </c>
      <c r="AF9" s="68" t="s">
        <v>93</v>
      </c>
      <c r="AG9" s="68" t="s">
        <v>93</v>
      </c>
      <c r="AH9" s="68" t="s">
        <v>58</v>
      </c>
      <c r="AI9" s="68" t="s">
        <v>12</v>
      </c>
      <c r="AJ9" s="68" t="s">
        <v>93</v>
      </c>
      <c r="AK9" s="68" t="s">
        <v>93</v>
      </c>
      <c r="AL9" s="68" t="s">
        <v>93</v>
      </c>
      <c r="AM9" s="68" t="s">
        <v>58</v>
      </c>
      <c r="AN9" s="68" t="s">
        <v>97</v>
      </c>
      <c r="AO9" s="68" t="s">
        <v>12</v>
      </c>
      <c r="AP9" s="68" t="s">
        <v>93</v>
      </c>
      <c r="AQ9" s="68" t="s">
        <v>93</v>
      </c>
      <c r="AR9" s="68" t="s">
        <v>93</v>
      </c>
      <c r="AS9" s="68" t="s">
        <v>93</v>
      </c>
      <c r="AT9" s="68" t="s">
        <v>93</v>
      </c>
      <c r="AU9" s="68" t="s">
        <v>12</v>
      </c>
      <c r="AW9" s="93" t="s">
        <v>102</v>
      </c>
      <c r="AX9" s="93" t="s">
        <v>102</v>
      </c>
      <c r="AY9" s="93" t="s">
        <v>102</v>
      </c>
      <c r="AZ9" s="95" t="s">
        <v>103</v>
      </c>
      <c r="BA9" s="96" t="s">
        <v>53</v>
      </c>
      <c r="BB9" s="178" t="s">
        <v>129</v>
      </c>
    </row>
    <row r="10" spans="2:54">
      <c r="B10" s="97">
        <v>457</v>
      </c>
      <c r="C10" s="99">
        <f>IF($C$5&lt;&gt;"Memoria CNMC",$C$5,IF(B10&gt;'Tipología Clientes'!$C$16,'Tipología Clientes'!$L$16,IF(B10&gt;'Tipología Clientes'!$C$15,'Tipología Clientes'!$L$15,IF(B10&gt;'Tipología Clientes'!$C$14,'Tipología Clientes'!$L$14,IF(B10&gt;'Tipología Clientes'!$C$13,'Tipología Clientes'!$L$13,IF(B10&gt;'Tipología Clientes'!$C$12,'Tipología Clientes'!$L$12,IF(B10&gt;'Tipología Clientes'!$C$11,'Tipología Clientes'!$L$11,IF(B10&gt;'Tipología Clientes'!$C$10,'Tipología Clientes'!$L$10,IF(B10&gt;'Tipología Clientes'!$C$9,'Tipología Clientes'!$L$9,IF(B10&gt;'Tipología Clientes'!$C$8,'Tipología Clientes'!$L$8,IF(B10&gt;'Tipología Clientes'!$C$7,'Tipología Clientes'!$L$7,'Tipología Clientes'!$L$6)))))))))))</f>
        <v>0.85</v>
      </c>
      <c r="D10" s="100">
        <f t="shared" ref="D10:D15" si="0">B10/365/C10</f>
        <v>1.4730056406124095</v>
      </c>
      <c r="E10" s="71" t="str">
        <f>IF(B10&gt;'Peajes Actuales'!$C$21,'Peajes Actuales'!$B$21,IF(B10&gt;'Peajes Actuales'!$C$20,'Peajes Actuales'!$B$20,IF(B10&gt;'Peajes Actuales'!$C$19,'Peajes Actuales'!$B$19,IF(B10&gt;'Peajes Actuales'!$C$18,'Peajes Actuales'!$B$18,IF(B10&gt;'Peajes Actuales'!$C$17,'Peajes Actuales'!$B$17,'Peajes Actuales'!$B$16)))))</f>
        <v>2.1</v>
      </c>
      <c r="F10" s="81">
        <f>'Peajes Actuales'!$H$29</f>
        <v>19.612000000000002</v>
      </c>
      <c r="G10" s="81">
        <f>'Peajes Actuales'!$I$29</f>
        <v>0.11599999999999999</v>
      </c>
      <c r="H10" s="110">
        <f t="shared" ref="H10:H15" si="1">D10*F10*12</f>
        <v>346.66303948428697</v>
      </c>
      <c r="I10" s="110">
        <f t="shared" ref="I10:I15" si="2">B10*G10</f>
        <v>53.011999999999993</v>
      </c>
      <c r="J10" s="109">
        <f t="shared" ref="J10:J15" si="3">H10+I10</f>
        <v>399.67503948428697</v>
      </c>
      <c r="K10" s="82">
        <f>'Peajes Actuales'!$I$5</f>
        <v>10.848000000000001</v>
      </c>
      <c r="L10" s="109">
        <f t="shared" ref="L10:L15" si="4">12*K10*D10</f>
        <v>191.74998227236102</v>
      </c>
      <c r="M10" s="83">
        <f>VLOOKUP(E10,'Peajes Actuales'!$B$16:$J$21,7,FALSE)</f>
        <v>253.05500000000001</v>
      </c>
      <c r="N10" s="83">
        <f>VLOOKUP(E10,'Peajes Actuales'!$B$16:$J$21,9,FALSE)</f>
        <v>1.9339999999999999</v>
      </c>
      <c r="O10" s="110">
        <f t="shared" ref="O10:O15" si="5">M10*D10*12</f>
        <v>4473.0173086220793</v>
      </c>
      <c r="P10" s="110">
        <f t="shared" ref="P10:P15" si="6">B10*N10</f>
        <v>883.83799999999997</v>
      </c>
      <c r="Q10" s="109">
        <f t="shared" ref="Q10:Q15" si="7">SUM(O10:P10)</f>
        <v>5356.8553086220791</v>
      </c>
      <c r="R10" s="111">
        <f t="shared" ref="R10:R15" si="8">J10+L10+Q10</f>
        <v>5948.2803303787268</v>
      </c>
      <c r="S10" s="74">
        <f t="shared" ref="S10:S15" si="9">R10/B10</f>
        <v>13.015930701047543</v>
      </c>
      <c r="U10" s="71" t="str">
        <f>IF(B10&gt;'Peajes Circular CNMC'!$C$23,'Peajes Circular CNMC'!$B$23,IF(B10&gt;'Peajes Circular CNMC'!$C$22,'Peajes Circular CNMC'!$B$22,IF(B10&gt;'Peajes Circular CNMC'!$C$21,'Peajes Circular CNMC'!$B$21,IF(B10&gt;'Peajes Circular CNMC'!$C$20,'Peajes Circular CNMC'!$B$20,IF(B10&gt;'Peajes Circular CNMC'!$C$19,'Peajes Circular CNMC'!$B$19,IF(B10&gt;'Peajes Circular CNMC'!$C$18,'Peajes Circular CNMC'!$B$18,IF(B10&gt;'Peajes Circular CNMC'!$C$17,'Peajes Circular CNMC'!$B$17,IF(B10&gt;'Peajes Circular CNMC'!$C$16,'Peajes Circular CNMC'!$B$16,IF(B10&gt;'Peajes Circular CNMC'!$C$15,'Peajes Circular CNMC'!$B$15,IF(B10&gt;'Peajes Circular CNMC'!$C$14,'Peajes Circular CNMC'!$B$14,'Peajes Circular CNMC'!$B$13))))))))))</f>
        <v>D.5</v>
      </c>
      <c r="V10" s="89">
        <f>'Peajes Circular CNMC'!$H$30</f>
        <v>25.224</v>
      </c>
      <c r="W10" s="81">
        <f>'Peajes Circular CNMC'!$I$30</f>
        <v>0.10178</v>
      </c>
      <c r="X10" s="110">
        <f t="shared" ref="X10:X15" si="10">12*V10*D10</f>
        <v>445.86113134568899</v>
      </c>
      <c r="Y10" s="110">
        <f t="shared" ref="Y10:Y15" si="11">W10*B10</f>
        <v>46.513459999999995</v>
      </c>
      <c r="Z10" s="109">
        <f t="shared" ref="Z10:Z15" si="12">X10+Y10</f>
        <v>492.374591345689</v>
      </c>
      <c r="AA10" s="81">
        <f>'Peajes Circular CNMC'!$H$35</f>
        <v>0.14737</v>
      </c>
      <c r="AB10" s="109">
        <f>B10*AA10</f>
        <v>67.348089999999999</v>
      </c>
      <c r="AC10" s="90">
        <f>'Peajes Circular CNMC'!$J$6</f>
        <v>13.922499999999999</v>
      </c>
      <c r="AD10" s="90">
        <f>'Peajes Circular CNMC'!$J$7</f>
        <v>2.5181930000000002E-2</v>
      </c>
      <c r="AE10" s="110">
        <f t="shared" ref="AE10:AE15" si="13">AC10*12*D10</f>
        <v>246.09505237711525</v>
      </c>
      <c r="AF10" s="110">
        <f t="shared" ref="AF10:AF15" si="14">AD10*B10</f>
        <v>11.50814201</v>
      </c>
      <c r="AG10" s="109">
        <f t="shared" ref="AG10:AG15" si="15">AE10+AF10</f>
        <v>257.60319438711525</v>
      </c>
      <c r="AH10" s="90">
        <f>'Peajes Circular CNMC'!$K$6</f>
        <v>8.5966666666666658</v>
      </c>
      <c r="AI10" s="90">
        <f>'Peajes Circular CNMC'!$K$7</f>
        <v>2.5181930000000002E-2</v>
      </c>
      <c r="AJ10" s="110">
        <f t="shared" ref="AJ10:AJ15" si="16">AH10*12*D10</f>
        <v>151.95526188557616</v>
      </c>
      <c r="AK10" s="110">
        <f t="shared" ref="AK10:AK15" si="17">AI10*B10</f>
        <v>11.50814201</v>
      </c>
      <c r="AL10" s="109">
        <f t="shared" ref="AL10:AL15" si="18">AJ10+AK10</f>
        <v>163.46340389557616</v>
      </c>
      <c r="AM10" s="91">
        <f>VLOOKUP(U10,'Peajes Circular CNMC'!$B$13:$J$23,7,FALSE)</f>
        <v>0</v>
      </c>
      <c r="AN10" s="80">
        <f>VLOOKUP(U10,'Peajes Circular CNMC'!$B$13:$J$23,8,FALSE)</f>
        <v>184.27269999999999</v>
      </c>
      <c r="AO10" s="80">
        <f>VLOOKUP(U10,'Peajes Circular CNMC'!$B$13:$J$23,9,FALSE)</f>
        <v>12.071</v>
      </c>
      <c r="AP10" s="110">
        <f t="shared" ref="AP10:AP15" si="19">12*AM10*D10</f>
        <v>0</v>
      </c>
      <c r="AQ10" s="110">
        <f t="shared" ref="AQ10:AQ15" si="20">12*AN10</f>
        <v>2211.2723999999998</v>
      </c>
      <c r="AR10" s="110">
        <f t="shared" ref="AR10:AR15" si="21">AO10*B10</f>
        <v>5516.4470000000001</v>
      </c>
      <c r="AS10" s="109">
        <f t="shared" ref="AS10:AS15" si="22">AP10+AQ10+AR10</f>
        <v>7727.7194</v>
      </c>
      <c r="AT10" s="111">
        <f t="shared" ref="AT10:AT15" si="23">Z10+AB10+AG10+AL10+AS10</f>
        <v>8708.5086796283795</v>
      </c>
      <c r="AU10" s="74">
        <f t="shared" ref="AU10:AU15" si="24">AT10/B10</f>
        <v>19.055817679711989</v>
      </c>
      <c r="AW10" s="70">
        <f t="shared" ref="AW10:AW15" si="25">(Z10-J10)/J10</f>
        <v>0.23193730581978581</v>
      </c>
      <c r="AX10" s="92">
        <f t="shared" ref="AX10:AX15" si="26">(AG10-L10)/L10</f>
        <v>0.3434326894550454</v>
      </c>
      <c r="AY10" s="92">
        <f t="shared" ref="AY10:AY15" si="27">(AL10+AS10-Q10)/Q10</f>
        <v>0.47309985976182573</v>
      </c>
      <c r="AZ10" s="112">
        <f t="shared" ref="AZ10:AZ15" si="28">AT10-R10</f>
        <v>2760.2283492496526</v>
      </c>
      <c r="BA10" s="92">
        <f t="shared" ref="BA10:BA15" si="29">AZ10/R10</f>
        <v>0.46403804056657649</v>
      </c>
      <c r="BB10" s="179">
        <f>AU10-S10</f>
        <v>6.0398869786644465</v>
      </c>
    </row>
    <row r="11" spans="2:54">
      <c r="B11" s="97">
        <v>2234</v>
      </c>
      <c r="C11" s="99">
        <f>IF($C$5&lt;&gt;"Memoria CNMC",$C$5,IF(B11&gt;'Tipología Clientes'!$C$16,'Tipología Clientes'!$L$16,IF(B11&gt;'Tipología Clientes'!$C$15,'Tipología Clientes'!$L$15,IF(B11&gt;'Tipología Clientes'!$C$14,'Tipología Clientes'!$L$14,IF(B11&gt;'Tipología Clientes'!$C$13,'Tipología Clientes'!$L$13,IF(B11&gt;'Tipología Clientes'!$C$12,'Tipología Clientes'!$L$12,IF(B11&gt;'Tipología Clientes'!$C$11,'Tipología Clientes'!$L$11,IF(B11&gt;'Tipología Clientes'!$C$10,'Tipología Clientes'!$L$10,IF(B11&gt;'Tipología Clientes'!$C$9,'Tipología Clientes'!$L$9,IF(B11&gt;'Tipología Clientes'!$C$8,'Tipología Clientes'!$L$8,IF(B11&gt;'Tipología Clientes'!$C$7,'Tipología Clientes'!$L$7,'Tipología Clientes'!$L$6)))))))))))</f>
        <v>0.85</v>
      </c>
      <c r="D11" s="100">
        <f t="shared" si="0"/>
        <v>7.2006446414182115</v>
      </c>
      <c r="E11" s="71" t="str">
        <f>IF(B11&gt;'Peajes Actuales'!$C$21,'Peajes Actuales'!$B$21,IF(B11&gt;'Peajes Actuales'!$C$20,'Peajes Actuales'!$B$20,IF(B11&gt;'Peajes Actuales'!$C$19,'Peajes Actuales'!$B$19,IF(B11&gt;'Peajes Actuales'!$C$18,'Peajes Actuales'!$B$18,IF(B11&gt;'Peajes Actuales'!$C$17,'Peajes Actuales'!$B$17,'Peajes Actuales'!$B$16)))))</f>
        <v>2.2</v>
      </c>
      <c r="F11" s="81">
        <f>'Peajes Actuales'!$H$29</f>
        <v>19.612000000000002</v>
      </c>
      <c r="G11" s="81">
        <f>'Peajes Actuales'!$I$29</f>
        <v>0.11599999999999999</v>
      </c>
      <c r="H11" s="110">
        <f t="shared" si="1"/>
        <v>1694.6285124899277</v>
      </c>
      <c r="I11" s="110">
        <f t="shared" si="2"/>
        <v>259.14400000000001</v>
      </c>
      <c r="J11" s="109">
        <f t="shared" si="3"/>
        <v>1953.7725124899277</v>
      </c>
      <c r="K11" s="82">
        <f>'Peajes Actuales'!$I$5</f>
        <v>10.848000000000001</v>
      </c>
      <c r="L11" s="109">
        <f t="shared" si="4"/>
        <v>937.35111684125718</v>
      </c>
      <c r="M11" s="83">
        <f>VLOOKUP(E11,'Peajes Actuales'!$B$16:$J$21,7,FALSE)</f>
        <v>68.683000000000007</v>
      </c>
      <c r="N11" s="83">
        <f>VLOOKUP(E11,'Peajes Actuales'!$B$16:$J$21,9,FALSE)</f>
        <v>1.5429999999999999</v>
      </c>
      <c r="O11" s="110">
        <f t="shared" si="5"/>
        <v>5934.7425108783245</v>
      </c>
      <c r="P11" s="110">
        <f t="shared" si="6"/>
        <v>3447.0619999999999</v>
      </c>
      <c r="Q11" s="109">
        <f t="shared" si="7"/>
        <v>9381.8045108783244</v>
      </c>
      <c r="R11" s="111">
        <f t="shared" si="8"/>
        <v>12272.928140209509</v>
      </c>
      <c r="S11" s="74">
        <f t="shared" si="9"/>
        <v>5.4937010475423049</v>
      </c>
      <c r="U11" s="71" t="str">
        <f>IF(B11&gt;'Peajes Circular CNMC'!$C$23,'Peajes Circular CNMC'!$B$23,IF(B11&gt;'Peajes Circular CNMC'!$C$22,'Peajes Circular CNMC'!$B$22,IF(B11&gt;'Peajes Circular CNMC'!$C$21,'Peajes Circular CNMC'!$B$21,IF(B11&gt;'Peajes Circular CNMC'!$C$20,'Peajes Circular CNMC'!$B$20,IF(B11&gt;'Peajes Circular CNMC'!$C$19,'Peajes Circular CNMC'!$B$19,IF(B11&gt;'Peajes Circular CNMC'!$C$18,'Peajes Circular CNMC'!$B$18,IF(B11&gt;'Peajes Circular CNMC'!$C$17,'Peajes Circular CNMC'!$B$17,IF(B11&gt;'Peajes Circular CNMC'!$C$16,'Peajes Circular CNMC'!$B$16,IF(B11&gt;'Peajes Circular CNMC'!$C$15,'Peajes Circular CNMC'!$B$15,IF(B11&gt;'Peajes Circular CNMC'!$C$14,'Peajes Circular CNMC'!$B$14,'Peajes Circular CNMC'!$B$13))))))))))</f>
        <v>D.6</v>
      </c>
      <c r="V11" s="89">
        <f>'Peajes Circular CNMC'!$H$30</f>
        <v>25.224</v>
      </c>
      <c r="W11" s="81">
        <f>'Peajes Circular CNMC'!$I$30</f>
        <v>0.10178</v>
      </c>
      <c r="X11" s="110">
        <f t="shared" si="10"/>
        <v>2179.5487252215953</v>
      </c>
      <c r="Y11" s="110">
        <f t="shared" si="11"/>
        <v>227.37652</v>
      </c>
      <c r="Z11" s="109">
        <f t="shared" si="12"/>
        <v>2406.9252452215951</v>
      </c>
      <c r="AA11" s="81">
        <f>'Peajes Circular CNMC'!$H$35</f>
        <v>0.14737</v>
      </c>
      <c r="AB11" s="109">
        <f t="shared" ref="AB11:AB15" si="30">B11*AA11</f>
        <v>329.22458</v>
      </c>
      <c r="AC11" s="90">
        <f>'Peajes Circular CNMC'!$J$6</f>
        <v>13.922499999999999</v>
      </c>
      <c r="AD11" s="90">
        <f>'Peajes Circular CNMC'!$J$7</f>
        <v>2.5181930000000002E-2</v>
      </c>
      <c r="AE11" s="110">
        <f t="shared" si="13"/>
        <v>1203.0117002417405</v>
      </c>
      <c r="AF11" s="110">
        <f t="shared" si="14"/>
        <v>56.256431620000001</v>
      </c>
      <c r="AG11" s="109">
        <f t="shared" si="15"/>
        <v>1259.2681318617406</v>
      </c>
      <c r="AH11" s="90">
        <f>'Peajes Circular CNMC'!$K$6</f>
        <v>8.5966666666666658</v>
      </c>
      <c r="AI11" s="90">
        <f>'Peajes Circular CNMC'!$K$7</f>
        <v>2.5181930000000002E-2</v>
      </c>
      <c r="AJ11" s="110">
        <f t="shared" si="16"/>
        <v>742.81850120870263</v>
      </c>
      <c r="AK11" s="110">
        <f t="shared" si="17"/>
        <v>56.256431620000001</v>
      </c>
      <c r="AL11" s="109">
        <f t="shared" si="18"/>
        <v>799.07493282870269</v>
      </c>
      <c r="AM11" s="91">
        <f>VLOOKUP(U11,'Peajes Circular CNMC'!$B$13:$J$23,7,FALSE)</f>
        <v>0</v>
      </c>
      <c r="AN11" s="80">
        <f>VLOOKUP(U11,'Peajes Circular CNMC'!$B$13:$J$23,8,FALSE)</f>
        <v>921.84</v>
      </c>
      <c r="AO11" s="80">
        <f>VLOOKUP(U11,'Peajes Circular CNMC'!$B$13:$J$23,9,FALSE)</f>
        <v>7.1639999999999997</v>
      </c>
      <c r="AP11" s="110">
        <f t="shared" si="19"/>
        <v>0</v>
      </c>
      <c r="AQ11" s="110">
        <f t="shared" si="20"/>
        <v>11062.08</v>
      </c>
      <c r="AR11" s="110">
        <f t="shared" si="21"/>
        <v>16004.376</v>
      </c>
      <c r="AS11" s="109">
        <f t="shared" si="22"/>
        <v>27066.455999999998</v>
      </c>
      <c r="AT11" s="111">
        <f t="shared" si="23"/>
        <v>31860.948889912037</v>
      </c>
      <c r="AU11" s="74">
        <f t="shared" si="24"/>
        <v>14.261839252422577</v>
      </c>
      <c r="AW11" s="70">
        <f t="shared" si="25"/>
        <v>0.23193730581978567</v>
      </c>
      <c r="AX11" s="92">
        <f t="shared" si="26"/>
        <v>0.34343268945504535</v>
      </c>
      <c r="AY11" s="92">
        <f t="shared" si="27"/>
        <v>1.9701675088751056</v>
      </c>
      <c r="AZ11" s="112">
        <f t="shared" si="28"/>
        <v>19588.020749702526</v>
      </c>
      <c r="BA11" s="92">
        <f t="shared" si="29"/>
        <v>1.5960348277056027</v>
      </c>
      <c r="BB11" s="179">
        <f>AU11-S11</f>
        <v>8.7681382048802732</v>
      </c>
    </row>
    <row r="12" spans="2:54">
      <c r="B12" s="97">
        <v>12157</v>
      </c>
      <c r="C12" s="99">
        <f>IF($C$5&lt;&gt;"Memoria CNMC",$C$5,IF(B12&gt;'Tipología Clientes'!$C$16,'Tipología Clientes'!$L$16,IF(B12&gt;'Tipología Clientes'!$C$15,'Tipología Clientes'!$L$15,IF(B12&gt;'Tipología Clientes'!$C$14,'Tipología Clientes'!$L$14,IF(B12&gt;'Tipología Clientes'!$C$13,'Tipología Clientes'!$L$13,IF(B12&gt;'Tipología Clientes'!$C$12,'Tipología Clientes'!$L$12,IF(B12&gt;'Tipología Clientes'!$C$11,'Tipología Clientes'!$L$11,IF(B12&gt;'Tipología Clientes'!$C$10,'Tipología Clientes'!$L$10,IF(B12&gt;'Tipología Clientes'!$C$9,'Tipología Clientes'!$L$9,IF(B12&gt;'Tipología Clientes'!$C$8,'Tipología Clientes'!$L$8,IF(B12&gt;'Tipología Clientes'!$C$7,'Tipología Clientes'!$L$7,'Tipología Clientes'!$L$6)))))))))))</f>
        <v>0.85</v>
      </c>
      <c r="D12" s="100">
        <f t="shared" si="0"/>
        <v>39.184528605962932</v>
      </c>
      <c r="E12" s="71" t="str">
        <f>IF(B12&gt;'Peajes Actuales'!$C$21,'Peajes Actuales'!$B$21,IF(B12&gt;'Peajes Actuales'!$C$20,'Peajes Actuales'!$B$20,IF(B12&gt;'Peajes Actuales'!$C$19,'Peajes Actuales'!$B$19,IF(B12&gt;'Peajes Actuales'!$C$18,'Peajes Actuales'!$B$18,IF(B12&gt;'Peajes Actuales'!$C$17,'Peajes Actuales'!$B$17,'Peajes Actuales'!$B$16)))))</f>
        <v>2.3</v>
      </c>
      <c r="F12" s="81">
        <f>'Peajes Actuales'!$H$29</f>
        <v>19.612000000000002</v>
      </c>
      <c r="G12" s="81">
        <f>'Peajes Actuales'!$I$29</f>
        <v>0.11599999999999999</v>
      </c>
      <c r="H12" s="110">
        <f t="shared" si="1"/>
        <v>9221.8437002417413</v>
      </c>
      <c r="I12" s="110">
        <f t="shared" si="2"/>
        <v>1410.212</v>
      </c>
      <c r="J12" s="109">
        <f t="shared" si="3"/>
        <v>10632.055700241741</v>
      </c>
      <c r="K12" s="82">
        <f>'Peajes Actuales'!$I$5</f>
        <v>10.848000000000001</v>
      </c>
      <c r="L12" s="109">
        <f t="shared" si="4"/>
        <v>5100.8851958098312</v>
      </c>
      <c r="M12" s="83">
        <f>VLOOKUP(E12,'Peajes Actuales'!$B$16:$J$21,7,FALSE)</f>
        <v>44.970999999999997</v>
      </c>
      <c r="N12" s="83">
        <f>VLOOKUP(E12,'Peajes Actuales'!$B$16:$J$21,9,FALSE)</f>
        <v>1.2490000000000001</v>
      </c>
      <c r="O12" s="110">
        <f t="shared" si="5"/>
        <v>21146.009231265107</v>
      </c>
      <c r="P12" s="110">
        <f t="shared" si="6"/>
        <v>15184.093000000001</v>
      </c>
      <c r="Q12" s="109">
        <f t="shared" si="7"/>
        <v>36330.102231265104</v>
      </c>
      <c r="R12" s="111">
        <f t="shared" si="8"/>
        <v>52063.043127316676</v>
      </c>
      <c r="S12" s="74">
        <f t="shared" si="9"/>
        <v>4.2825568090249799</v>
      </c>
      <c r="U12" s="71" t="str">
        <f>IF(B12&gt;'Peajes Circular CNMC'!$C$23,'Peajes Circular CNMC'!$B$23,IF(B12&gt;'Peajes Circular CNMC'!$C$22,'Peajes Circular CNMC'!$B$22,IF(B12&gt;'Peajes Circular CNMC'!$C$21,'Peajes Circular CNMC'!$B$21,IF(B12&gt;'Peajes Circular CNMC'!$C$20,'Peajes Circular CNMC'!$B$20,IF(B12&gt;'Peajes Circular CNMC'!$C$19,'Peajes Circular CNMC'!$B$19,IF(B12&gt;'Peajes Circular CNMC'!$C$18,'Peajes Circular CNMC'!$B$18,IF(B12&gt;'Peajes Circular CNMC'!$C$17,'Peajes Circular CNMC'!$B$17,IF(B12&gt;'Peajes Circular CNMC'!$C$16,'Peajes Circular CNMC'!$B$16,IF(B12&gt;'Peajes Circular CNMC'!$C$15,'Peajes Circular CNMC'!$B$15,IF(B12&gt;'Peajes Circular CNMC'!$C$14,'Peajes Circular CNMC'!$B$14,'Peajes Circular CNMC'!$B$13))))))))))</f>
        <v>D.7</v>
      </c>
      <c r="V12" s="89">
        <f>'Peajes Circular CNMC'!$H$30</f>
        <v>25.224</v>
      </c>
      <c r="W12" s="81">
        <f>'Peajes Circular CNMC'!$I$30</f>
        <v>0.10178</v>
      </c>
      <c r="X12" s="110">
        <f t="shared" si="10"/>
        <v>11860.686594681707</v>
      </c>
      <c r="Y12" s="110">
        <f t="shared" si="11"/>
        <v>1237.3394599999999</v>
      </c>
      <c r="Z12" s="109">
        <f t="shared" si="12"/>
        <v>13098.026054681706</v>
      </c>
      <c r="AA12" s="81">
        <f>'Peajes Circular CNMC'!$H$35</f>
        <v>0.14737</v>
      </c>
      <c r="AB12" s="109">
        <f t="shared" si="30"/>
        <v>1791.57709</v>
      </c>
      <c r="AC12" s="90">
        <f>'Peajes Circular CNMC'!$J$6</f>
        <v>13.922499999999999</v>
      </c>
      <c r="AD12" s="90">
        <f>'Peajes Circular CNMC'!$J$7</f>
        <v>2.5181930000000002E-2</v>
      </c>
      <c r="AE12" s="110">
        <f t="shared" si="13"/>
        <v>6546.5591941982266</v>
      </c>
      <c r="AF12" s="110">
        <f t="shared" si="14"/>
        <v>306.13672301000003</v>
      </c>
      <c r="AG12" s="109">
        <f t="shared" si="15"/>
        <v>6852.695917208227</v>
      </c>
      <c r="AH12" s="90">
        <f>'Peajes Circular CNMC'!$K$6</f>
        <v>8.5966666666666658</v>
      </c>
      <c r="AI12" s="90">
        <f>'Peajes Circular CNMC'!$K$7</f>
        <v>2.5181930000000002E-2</v>
      </c>
      <c r="AJ12" s="110">
        <f t="shared" si="16"/>
        <v>4042.2759709911361</v>
      </c>
      <c r="AK12" s="110">
        <f t="shared" si="17"/>
        <v>306.13672301000003</v>
      </c>
      <c r="AL12" s="109">
        <f t="shared" si="18"/>
        <v>4348.4126940011365</v>
      </c>
      <c r="AM12" s="91">
        <f>VLOOKUP(U12,'Peajes Circular CNMC'!$B$13:$J$23,7,FALSE)</f>
        <v>70.858333333333334</v>
      </c>
      <c r="AN12" s="80">
        <f>VLOOKUP(U12,'Peajes Circular CNMC'!$B$13:$J$23,8,FALSE)</f>
        <v>0</v>
      </c>
      <c r="AO12" s="80">
        <f>VLOOKUP(U12,'Peajes Circular CNMC'!$B$13:$J$23,9,FALSE)</f>
        <v>0.83020000000000005</v>
      </c>
      <c r="AP12" s="110">
        <f t="shared" si="19"/>
        <v>33318.604673650276</v>
      </c>
      <c r="AQ12" s="110">
        <f t="shared" si="20"/>
        <v>0</v>
      </c>
      <c r="AR12" s="110">
        <f t="shared" si="21"/>
        <v>10092.741400000001</v>
      </c>
      <c r="AS12" s="109">
        <f t="shared" si="22"/>
        <v>43411.346073650275</v>
      </c>
      <c r="AT12" s="111">
        <f t="shared" si="23"/>
        <v>69502.057829541343</v>
      </c>
      <c r="AU12" s="74">
        <f t="shared" si="24"/>
        <v>5.7170402097179682</v>
      </c>
      <c r="AW12" s="70">
        <f t="shared" si="25"/>
        <v>0.23193730581978578</v>
      </c>
      <c r="AX12" s="92">
        <f t="shared" si="26"/>
        <v>0.34343268945504529</v>
      </c>
      <c r="AY12" s="92">
        <f t="shared" si="27"/>
        <v>0.31460568053535853</v>
      </c>
      <c r="AZ12" s="112">
        <f t="shared" si="28"/>
        <v>17439.014702224667</v>
      </c>
      <c r="BA12" s="92">
        <f t="shared" si="29"/>
        <v>0.33495957313864133</v>
      </c>
      <c r="BB12" s="179">
        <f t="shared" ref="BB12:BB15" si="31">AU12-S12</f>
        <v>1.4344834006929883</v>
      </c>
    </row>
    <row r="13" spans="2:54">
      <c r="B13" s="97">
        <v>49046</v>
      </c>
      <c r="C13" s="99">
        <f>IF($C$5&lt;&gt;"Memoria CNMC",$C$5,IF(B13&gt;'Tipología Clientes'!$C$16,'Tipología Clientes'!$L$16,IF(B13&gt;'Tipología Clientes'!$C$15,'Tipología Clientes'!$L$15,IF(B13&gt;'Tipología Clientes'!$C$14,'Tipología Clientes'!$L$14,IF(B13&gt;'Tipología Clientes'!$C$13,'Tipología Clientes'!$L$13,IF(B13&gt;'Tipología Clientes'!$C$12,'Tipología Clientes'!$L$12,IF(B13&gt;'Tipología Clientes'!$C$11,'Tipología Clientes'!$L$11,IF(B13&gt;'Tipología Clientes'!$C$10,'Tipología Clientes'!$L$10,IF(B13&gt;'Tipología Clientes'!$C$9,'Tipología Clientes'!$L$9,IF(B13&gt;'Tipología Clientes'!$C$8,'Tipología Clientes'!$L$8,IF(B13&gt;'Tipología Clientes'!$C$7,'Tipología Clientes'!$L$7,'Tipología Clientes'!$L$6)))))))))))</f>
        <v>0.85</v>
      </c>
      <c r="D13" s="100">
        <f t="shared" si="0"/>
        <v>158.085414987913</v>
      </c>
      <c r="E13" s="71" t="str">
        <f>IF(B13&gt;'Peajes Actuales'!$C$21,'Peajes Actuales'!$B$21,IF(B13&gt;'Peajes Actuales'!$C$20,'Peajes Actuales'!$B$20,IF(B13&gt;'Peajes Actuales'!$C$19,'Peajes Actuales'!$B$19,IF(B13&gt;'Peajes Actuales'!$C$18,'Peajes Actuales'!$B$18,IF(B13&gt;'Peajes Actuales'!$C$17,'Peajes Actuales'!$B$17,'Peajes Actuales'!$B$16)))))</f>
        <v>2.4</v>
      </c>
      <c r="F13" s="81">
        <f>'Peajes Actuales'!$H$29</f>
        <v>19.612000000000002</v>
      </c>
      <c r="G13" s="81">
        <f>'Peajes Actuales'!$I$29</f>
        <v>0.11599999999999999</v>
      </c>
      <c r="H13" s="110">
        <f t="shared" si="1"/>
        <v>37204.453904915405</v>
      </c>
      <c r="I13" s="110">
        <f t="shared" si="2"/>
        <v>5689.3359999999993</v>
      </c>
      <c r="J13" s="109">
        <f t="shared" si="3"/>
        <v>42893.789904915408</v>
      </c>
      <c r="K13" s="82">
        <f>'Peajes Actuales'!$I$5</f>
        <v>10.848000000000001</v>
      </c>
      <c r="L13" s="109">
        <f t="shared" si="4"/>
        <v>20578.926981466564</v>
      </c>
      <c r="M13" s="83">
        <f>VLOOKUP(E13,'Peajes Actuales'!$B$16:$J$21,7,FALSE)</f>
        <v>41.21</v>
      </c>
      <c r="N13" s="83">
        <f>VLOOKUP(E13,'Peajes Actuales'!$B$16:$J$21,9,FALSE)</f>
        <v>1.121</v>
      </c>
      <c r="O13" s="110">
        <f t="shared" si="5"/>
        <v>78176.39941982273</v>
      </c>
      <c r="P13" s="110">
        <f t="shared" si="6"/>
        <v>54980.565999999999</v>
      </c>
      <c r="Q13" s="109">
        <f t="shared" si="7"/>
        <v>133156.96541982272</v>
      </c>
      <c r="R13" s="111">
        <f t="shared" si="8"/>
        <v>196629.68230620469</v>
      </c>
      <c r="S13" s="74">
        <f t="shared" si="9"/>
        <v>4.0090870265914589</v>
      </c>
      <c r="U13" s="71" t="str">
        <f>IF(B13&gt;'Peajes Circular CNMC'!$C$23,'Peajes Circular CNMC'!$B$23,IF(B13&gt;'Peajes Circular CNMC'!$C$22,'Peajes Circular CNMC'!$B$22,IF(B13&gt;'Peajes Circular CNMC'!$C$21,'Peajes Circular CNMC'!$B$21,IF(B13&gt;'Peajes Circular CNMC'!$C$20,'Peajes Circular CNMC'!$B$20,IF(B13&gt;'Peajes Circular CNMC'!$C$19,'Peajes Circular CNMC'!$B$19,IF(B13&gt;'Peajes Circular CNMC'!$C$18,'Peajes Circular CNMC'!$B$18,IF(B13&gt;'Peajes Circular CNMC'!$C$17,'Peajes Circular CNMC'!$B$17,IF(B13&gt;'Peajes Circular CNMC'!$C$16,'Peajes Circular CNMC'!$B$16,IF(B13&gt;'Peajes Circular CNMC'!$C$15,'Peajes Circular CNMC'!$B$15,IF(B13&gt;'Peajes Circular CNMC'!$C$14,'Peajes Circular CNMC'!$B$14,'Peajes Circular CNMC'!$B$13))))))))))</f>
        <v>D.8</v>
      </c>
      <c r="V13" s="89">
        <f>'Peajes Circular CNMC'!$H$30</f>
        <v>25.224</v>
      </c>
      <c r="W13" s="81">
        <f>'Peajes Circular CNMC'!$I$30</f>
        <v>0.10178</v>
      </c>
      <c r="X13" s="110">
        <f t="shared" si="10"/>
        <v>47850.558091861407</v>
      </c>
      <c r="Y13" s="110">
        <f t="shared" si="11"/>
        <v>4991.9018799999994</v>
      </c>
      <c r="Z13" s="109">
        <f t="shared" si="12"/>
        <v>52842.459971861404</v>
      </c>
      <c r="AA13" s="81">
        <f>'Peajes Circular CNMC'!$H$35</f>
        <v>0.14737</v>
      </c>
      <c r="AB13" s="109">
        <f t="shared" si="30"/>
        <v>7227.9090200000001</v>
      </c>
      <c r="AC13" s="90">
        <f>'Peajes Circular CNMC'!$J$6</f>
        <v>13.922499999999999</v>
      </c>
      <c r="AD13" s="90">
        <f>'Peajes Circular CNMC'!$J$7</f>
        <v>2.5181930000000002E-2</v>
      </c>
      <c r="AE13" s="110">
        <f t="shared" si="13"/>
        <v>26411.330282030623</v>
      </c>
      <c r="AF13" s="110">
        <f t="shared" si="14"/>
        <v>1235.0729387800002</v>
      </c>
      <c r="AG13" s="109">
        <f t="shared" si="15"/>
        <v>27646.403220810622</v>
      </c>
      <c r="AH13" s="90">
        <f>'Peajes Circular CNMC'!$K$6</f>
        <v>8.5966666666666658</v>
      </c>
      <c r="AI13" s="90">
        <f>'Peajes Circular CNMC'!$K$7</f>
        <v>2.5181930000000002E-2</v>
      </c>
      <c r="AJ13" s="110">
        <f t="shared" si="16"/>
        <v>16308.091410153103</v>
      </c>
      <c r="AK13" s="110">
        <f t="shared" si="17"/>
        <v>1235.0729387800002</v>
      </c>
      <c r="AL13" s="109">
        <f t="shared" si="18"/>
        <v>17543.164348933104</v>
      </c>
      <c r="AM13" s="91">
        <f>VLOOKUP(U13,'Peajes Circular CNMC'!$B$13:$J$23,7,FALSE)</f>
        <v>34.093333333333334</v>
      </c>
      <c r="AN13" s="80">
        <f>VLOOKUP(U13,'Peajes Circular CNMC'!$B$13:$J$23,8,FALSE)</f>
        <v>0</v>
      </c>
      <c r="AO13" s="80">
        <f>VLOOKUP(U13,'Peajes Circular CNMC'!$B$13:$J$23,9,FALSE)</f>
        <v>0.52300000000000002</v>
      </c>
      <c r="AP13" s="110">
        <f t="shared" si="19"/>
        <v>64675.904979854968</v>
      </c>
      <c r="AQ13" s="110">
        <f t="shared" si="20"/>
        <v>0</v>
      </c>
      <c r="AR13" s="110">
        <f t="shared" si="21"/>
        <v>25651.058000000001</v>
      </c>
      <c r="AS13" s="109">
        <f t="shared" si="22"/>
        <v>90326.962979854972</v>
      </c>
      <c r="AT13" s="111">
        <f t="shared" si="23"/>
        <v>195586.89954146009</v>
      </c>
      <c r="AU13" s="74">
        <f t="shared" si="24"/>
        <v>3.9878257052860597</v>
      </c>
      <c r="AW13" s="70">
        <f t="shared" si="25"/>
        <v>0.23193730581978558</v>
      </c>
      <c r="AX13" s="92">
        <f t="shared" si="26"/>
        <v>0.34343268945504524</v>
      </c>
      <c r="AY13" s="92">
        <f t="shared" si="27"/>
        <v>-0.18990248096529738</v>
      </c>
      <c r="AZ13" s="112">
        <f t="shared" si="28"/>
        <v>-1042.7827647445956</v>
      </c>
      <c r="BA13" s="92">
        <f t="shared" si="29"/>
        <v>-5.303282558940952E-3</v>
      </c>
      <c r="BB13" s="179">
        <f t="shared" si="31"/>
        <v>-2.126132130539915E-2</v>
      </c>
    </row>
    <row r="14" spans="2:54">
      <c r="B14" s="97">
        <v>206507</v>
      </c>
      <c r="C14" s="99">
        <f>IF($C$5&lt;&gt;"Memoria CNMC",$C$5,IF(B14&gt;'Tipología Clientes'!$C$16,'Tipología Clientes'!$L$16,IF(B14&gt;'Tipología Clientes'!$C$15,'Tipología Clientes'!$L$15,IF(B14&gt;'Tipología Clientes'!$C$14,'Tipología Clientes'!$L$14,IF(B14&gt;'Tipología Clientes'!$C$13,'Tipología Clientes'!$L$13,IF(B14&gt;'Tipología Clientes'!$C$12,'Tipología Clientes'!$L$12,IF(B14&gt;'Tipología Clientes'!$C$11,'Tipología Clientes'!$L$11,IF(B14&gt;'Tipología Clientes'!$C$10,'Tipología Clientes'!$L$10,IF(B14&gt;'Tipología Clientes'!$C$9,'Tipología Clientes'!$L$9,IF(B14&gt;'Tipología Clientes'!$C$8,'Tipología Clientes'!$L$8,IF(B14&gt;'Tipología Clientes'!$C$7,'Tipología Clientes'!$L$7,'Tipología Clientes'!$L$6)))))))))))</f>
        <v>0.85</v>
      </c>
      <c r="D14" s="100">
        <f t="shared" si="0"/>
        <v>665.61482675261891</v>
      </c>
      <c r="E14" s="71" t="str">
        <f>IF(B14&gt;'Peajes Actuales'!$C$21,'Peajes Actuales'!$B$21,IF(B14&gt;'Peajes Actuales'!$C$20,'Peajes Actuales'!$B$20,IF(B14&gt;'Peajes Actuales'!$C$19,'Peajes Actuales'!$B$19,IF(B14&gt;'Peajes Actuales'!$C$18,'Peajes Actuales'!$B$18,IF(B14&gt;'Peajes Actuales'!$C$17,'Peajes Actuales'!$B$17,'Peajes Actuales'!$B$16)))))</f>
        <v>2.5</v>
      </c>
      <c r="F14" s="81">
        <f>'Peajes Actuales'!$H$29</f>
        <v>19.612000000000002</v>
      </c>
      <c r="G14" s="81">
        <f>'Peajes Actuales'!$I$29</f>
        <v>0.11599999999999999</v>
      </c>
      <c r="H14" s="110">
        <f t="shared" si="1"/>
        <v>156648.45578726835</v>
      </c>
      <c r="I14" s="110">
        <f t="shared" si="2"/>
        <v>23954.811999999998</v>
      </c>
      <c r="J14" s="109">
        <f t="shared" si="3"/>
        <v>180603.26778726836</v>
      </c>
      <c r="K14" s="82">
        <f>'Peajes Actuales'!$I$5</f>
        <v>10.848000000000001</v>
      </c>
      <c r="L14" s="109">
        <f t="shared" si="4"/>
        <v>86647.07568734893</v>
      </c>
      <c r="M14" s="83">
        <f>VLOOKUP(E14,'Peajes Actuales'!$B$16:$J$21,7,FALSE)</f>
        <v>37.887</v>
      </c>
      <c r="N14" s="83">
        <f>VLOOKUP(E14,'Peajes Actuales'!$B$16:$J$21,9,FALSE)</f>
        <v>0.98299999999999998</v>
      </c>
      <c r="O14" s="110">
        <f t="shared" si="5"/>
        <v>302617.78729411768</v>
      </c>
      <c r="P14" s="110">
        <f t="shared" si="6"/>
        <v>202996.38099999999</v>
      </c>
      <c r="Q14" s="109">
        <f t="shared" si="7"/>
        <v>505614.16829411767</v>
      </c>
      <c r="R14" s="111">
        <f t="shared" si="8"/>
        <v>772864.51176873501</v>
      </c>
      <c r="S14" s="74">
        <f t="shared" si="9"/>
        <v>3.7425584206285261</v>
      </c>
      <c r="U14" s="71" t="str">
        <f>IF(B14&gt;'Peajes Circular CNMC'!$C$23,'Peajes Circular CNMC'!$B$23,IF(B14&gt;'Peajes Circular CNMC'!$C$22,'Peajes Circular CNMC'!$B$22,IF(B14&gt;'Peajes Circular CNMC'!$C$21,'Peajes Circular CNMC'!$B$21,IF(B14&gt;'Peajes Circular CNMC'!$C$20,'Peajes Circular CNMC'!$B$20,IF(B14&gt;'Peajes Circular CNMC'!$C$19,'Peajes Circular CNMC'!$B$19,IF(B14&gt;'Peajes Circular CNMC'!$C$18,'Peajes Circular CNMC'!$B$18,IF(B14&gt;'Peajes Circular CNMC'!$C$17,'Peajes Circular CNMC'!$B$17,IF(B14&gt;'Peajes Circular CNMC'!$C$16,'Peajes Circular CNMC'!$B$16,IF(B14&gt;'Peajes Circular CNMC'!$C$15,'Peajes Circular CNMC'!$B$15,IF(B14&gt;'Peajes Circular CNMC'!$C$14,'Peajes Circular CNMC'!$B$14,'Peajes Circular CNMC'!$B$13))))))))))</f>
        <v>D.10</v>
      </c>
      <c r="V14" s="89">
        <f>'Peajes Circular CNMC'!$H$30</f>
        <v>25.224</v>
      </c>
      <c r="W14" s="81">
        <f>'Peajes Circular CNMC'!$I$30</f>
        <v>0.10178</v>
      </c>
      <c r="X14" s="110">
        <f t="shared" si="10"/>
        <v>201473.6206800967</v>
      </c>
      <c r="Y14" s="110">
        <f t="shared" si="11"/>
        <v>21018.282459999999</v>
      </c>
      <c r="Z14" s="109">
        <f t="shared" si="12"/>
        <v>222491.90314009669</v>
      </c>
      <c r="AA14" s="81">
        <f>'Peajes Circular CNMC'!$H$35</f>
        <v>0.14737</v>
      </c>
      <c r="AB14" s="109">
        <f t="shared" si="30"/>
        <v>30432.936590000001</v>
      </c>
      <c r="AC14" s="90">
        <f>'Peajes Circular CNMC'!$J$6</f>
        <v>13.922499999999999</v>
      </c>
      <c r="AD14" s="90">
        <f>'Peajes Circular CNMC'!$J$7</f>
        <v>2.5181930000000002E-2</v>
      </c>
      <c r="AE14" s="110">
        <f t="shared" si="13"/>
        <v>111204.26910556003</v>
      </c>
      <c r="AF14" s="110">
        <f t="shared" si="14"/>
        <v>5200.2448185100002</v>
      </c>
      <c r="AG14" s="109">
        <f t="shared" si="15"/>
        <v>116404.51392407002</v>
      </c>
      <c r="AH14" s="90">
        <f>'Peajes Circular CNMC'!$K$6</f>
        <v>8.5966666666666658</v>
      </c>
      <c r="AI14" s="90">
        <f>'Peajes Circular CNMC'!$K$7</f>
        <v>2.5181930000000002E-2</v>
      </c>
      <c r="AJ14" s="110">
        <f t="shared" si="16"/>
        <v>68664.82552780016</v>
      </c>
      <c r="AK14" s="110">
        <f t="shared" si="17"/>
        <v>5200.2448185100002</v>
      </c>
      <c r="AL14" s="109">
        <f t="shared" si="18"/>
        <v>73865.070346310153</v>
      </c>
      <c r="AM14" s="91">
        <f>VLOOKUP(U14,'Peajes Circular CNMC'!$B$13:$J$23,7,FALSE)</f>
        <v>10.894166666666669</v>
      </c>
      <c r="AN14" s="80">
        <f>VLOOKUP(U14,'Peajes Circular CNMC'!$B$13:$J$23,8,FALSE)</f>
        <v>0</v>
      </c>
      <c r="AO14" s="80">
        <f>VLOOKUP(U14,'Peajes Circular CNMC'!$B$13:$J$23,9,FALSE)</f>
        <v>0.27800000000000002</v>
      </c>
      <c r="AP14" s="110">
        <f t="shared" si="19"/>
        <v>87015.826301369889</v>
      </c>
      <c r="AQ14" s="110">
        <f t="shared" si="20"/>
        <v>0</v>
      </c>
      <c r="AR14" s="110">
        <f t="shared" si="21"/>
        <v>57408.946000000004</v>
      </c>
      <c r="AS14" s="109">
        <f t="shared" si="22"/>
        <v>144424.7723013699</v>
      </c>
      <c r="AT14" s="111">
        <f t="shared" si="23"/>
        <v>587619.19630184676</v>
      </c>
      <c r="AU14" s="74">
        <f t="shared" si="24"/>
        <v>2.8455170832070911</v>
      </c>
      <c r="AW14" s="70">
        <f t="shared" si="25"/>
        <v>0.23193730581978583</v>
      </c>
      <c r="AX14" s="92">
        <f t="shared" si="26"/>
        <v>0.34343268945504507</v>
      </c>
      <c r="AY14" s="92">
        <f t="shared" si="27"/>
        <v>-0.56826794750597243</v>
      </c>
      <c r="AZ14" s="112">
        <f t="shared" si="28"/>
        <v>-185245.31546688825</v>
      </c>
      <c r="BA14" s="92">
        <f t="shared" si="29"/>
        <v>-0.23968666259878599</v>
      </c>
      <c r="BB14" s="179">
        <f t="shared" si="31"/>
        <v>-0.89704133742143499</v>
      </c>
    </row>
    <row r="15" spans="2:54">
      <c r="B15" s="97">
        <v>1144703</v>
      </c>
      <c r="C15" s="99">
        <f>IF($C$5&lt;&gt;"Memoria CNMC",$C$5,IF(B15&gt;'Tipología Clientes'!$C$16,'Tipología Clientes'!$L$16,IF(B15&gt;'Tipología Clientes'!$C$15,'Tipología Clientes'!$L$15,IF(B15&gt;'Tipología Clientes'!$C$14,'Tipología Clientes'!$L$14,IF(B15&gt;'Tipología Clientes'!$C$13,'Tipología Clientes'!$L$13,IF(B15&gt;'Tipología Clientes'!$C$12,'Tipología Clientes'!$L$12,IF(B15&gt;'Tipología Clientes'!$C$11,'Tipología Clientes'!$L$11,IF(B15&gt;'Tipología Clientes'!$C$10,'Tipología Clientes'!$L$10,IF(B15&gt;'Tipología Clientes'!$C$9,'Tipología Clientes'!$L$9,IF(B15&gt;'Tipología Clientes'!$C$8,'Tipología Clientes'!$L$8,IF(B15&gt;'Tipología Clientes'!$C$7,'Tipología Clientes'!$L$7,'Tipología Clientes'!$L$6)))))))))))</f>
        <v>0.85</v>
      </c>
      <c r="D15" s="100">
        <f t="shared" si="0"/>
        <v>3689.6148267526191</v>
      </c>
      <c r="E15" s="71" t="str">
        <f>IF(B15&gt;'Peajes Actuales'!$C$21,'Peajes Actuales'!$B$21,IF(B15&gt;'Peajes Actuales'!$C$20,'Peajes Actuales'!$B$20,IF(B15&gt;'Peajes Actuales'!$C$19,'Peajes Actuales'!$B$19,IF(B15&gt;'Peajes Actuales'!$C$18,'Peajes Actuales'!$B$18,IF(B15&gt;'Peajes Actuales'!$C$17,'Peajes Actuales'!$B$17,'Peajes Actuales'!$B$16)))))</f>
        <v>2.6</v>
      </c>
      <c r="F15" s="81">
        <f>'Peajes Actuales'!$H$29</f>
        <v>19.612000000000002</v>
      </c>
      <c r="G15" s="81">
        <f>'Peajes Actuales'!$I$29</f>
        <v>0.11599999999999999</v>
      </c>
      <c r="H15" s="110">
        <f t="shared" si="1"/>
        <v>868328.71178726852</v>
      </c>
      <c r="I15" s="110">
        <f t="shared" si="2"/>
        <v>132785.54799999998</v>
      </c>
      <c r="J15" s="109">
        <f t="shared" si="3"/>
        <v>1001114.2597872685</v>
      </c>
      <c r="K15" s="82">
        <f>'Peajes Actuales'!$I$5</f>
        <v>10.848000000000001</v>
      </c>
      <c r="L15" s="109">
        <f t="shared" si="4"/>
        <v>480299.299687349</v>
      </c>
      <c r="M15" s="83">
        <f>VLOOKUP(E15,'Peajes Actuales'!$B$16:$J$21,7,FALSE)</f>
        <v>34.847999999999999</v>
      </c>
      <c r="N15" s="83">
        <f>VLOOKUP(E15,'Peajes Actuales'!$B$16:$J$21,9,FALSE)</f>
        <v>0.85199999999999998</v>
      </c>
      <c r="O15" s="110">
        <f t="shared" si="5"/>
        <v>1542908.3697921033</v>
      </c>
      <c r="P15" s="110">
        <f t="shared" si="6"/>
        <v>975286.95600000001</v>
      </c>
      <c r="Q15" s="109">
        <f t="shared" si="7"/>
        <v>2518195.3257921031</v>
      </c>
      <c r="R15" s="111">
        <f t="shared" si="8"/>
        <v>3999608.8852667203</v>
      </c>
      <c r="S15" s="74">
        <f t="shared" si="9"/>
        <v>3.4940145044319095</v>
      </c>
      <c r="U15" s="71" t="str">
        <f>IF(B15&gt;'Peajes Circular CNMC'!$C$23,'Peajes Circular CNMC'!$B$23,IF(B15&gt;'Peajes Circular CNMC'!$C$22,'Peajes Circular CNMC'!$B$22,IF(B15&gt;'Peajes Circular CNMC'!$C$21,'Peajes Circular CNMC'!$B$21,IF(B15&gt;'Peajes Circular CNMC'!$C$20,'Peajes Circular CNMC'!$B$20,IF(B15&gt;'Peajes Circular CNMC'!$C$19,'Peajes Circular CNMC'!$B$19,IF(B15&gt;'Peajes Circular CNMC'!$C$18,'Peajes Circular CNMC'!$B$18,IF(B15&gt;'Peajes Circular CNMC'!$C$17,'Peajes Circular CNMC'!$B$17,IF(B15&gt;'Peajes Circular CNMC'!$C$16,'Peajes Circular CNMC'!$B$16,IF(B15&gt;'Peajes Circular CNMC'!$C$15,'Peajes Circular CNMC'!$B$15,IF(B15&gt;'Peajes Circular CNMC'!$C$14,'Peajes Circular CNMC'!$B$14,'Peajes Circular CNMC'!$B$13))))))))))</f>
        <v>D.11</v>
      </c>
      <c r="V15" s="89">
        <f>'Peajes Circular CNMC'!$H$30</f>
        <v>25.224</v>
      </c>
      <c r="W15" s="81">
        <f>'Peajes Circular CNMC'!$I$30</f>
        <v>0.10178</v>
      </c>
      <c r="X15" s="110">
        <f t="shared" si="10"/>
        <v>1116802.1326800967</v>
      </c>
      <c r="Y15" s="110">
        <f t="shared" si="11"/>
        <v>116507.87134</v>
      </c>
      <c r="Z15" s="109">
        <f t="shared" si="12"/>
        <v>1233310.0040200967</v>
      </c>
      <c r="AA15" s="81">
        <f>'Peajes Circular CNMC'!$H$35</f>
        <v>0.14737</v>
      </c>
      <c r="AB15" s="109">
        <f t="shared" si="30"/>
        <v>168694.88110999999</v>
      </c>
      <c r="AC15" s="90">
        <f>'Peajes Circular CNMC'!$J$6</f>
        <v>13.922499999999999</v>
      </c>
      <c r="AD15" s="90">
        <f>'Peajes Circular CNMC'!$J$7</f>
        <v>2.5181930000000002E-2</v>
      </c>
      <c r="AE15" s="110">
        <f t="shared" si="13"/>
        <v>616423.94910556008</v>
      </c>
      <c r="AF15" s="110">
        <f t="shared" si="14"/>
        <v>28825.830816790003</v>
      </c>
      <c r="AG15" s="109">
        <f t="shared" si="15"/>
        <v>645249.77992235008</v>
      </c>
      <c r="AH15" s="90">
        <f>'Peajes Circular CNMC'!$K$6</f>
        <v>8.5966666666666658</v>
      </c>
      <c r="AI15" s="90">
        <f>'Peajes Circular CNMC'!$K$7</f>
        <v>2.5181930000000002E-2</v>
      </c>
      <c r="AJ15" s="110">
        <f t="shared" si="16"/>
        <v>380620.66552780016</v>
      </c>
      <c r="AK15" s="110">
        <f t="shared" si="17"/>
        <v>28825.830816790003</v>
      </c>
      <c r="AL15" s="109">
        <f t="shared" si="18"/>
        <v>409446.49634459015</v>
      </c>
      <c r="AM15" s="91">
        <f>VLOOKUP(U15,'Peajes Circular CNMC'!$B$13:$J$23,7,FALSE)</f>
        <v>6.9858333333333329</v>
      </c>
      <c r="AN15" s="80">
        <f>VLOOKUP(U15,'Peajes Circular CNMC'!$B$13:$J$23,8,FALSE)</f>
        <v>0</v>
      </c>
      <c r="AO15" s="80">
        <f>VLOOKUP(U15,'Peajes Circular CNMC'!$B$13:$J$23,9,FALSE)</f>
        <v>6.5699999999999995E-2</v>
      </c>
      <c r="AP15" s="110">
        <f t="shared" si="19"/>
        <v>309300.41092667205</v>
      </c>
      <c r="AQ15" s="110">
        <f t="shared" si="20"/>
        <v>0</v>
      </c>
      <c r="AR15" s="110">
        <f t="shared" si="21"/>
        <v>75206.987099999998</v>
      </c>
      <c r="AS15" s="109">
        <f t="shared" si="22"/>
        <v>384507.39802667208</v>
      </c>
      <c r="AT15" s="111">
        <f t="shared" si="23"/>
        <v>2841208.5594237093</v>
      </c>
      <c r="AU15" s="74">
        <f t="shared" si="24"/>
        <v>2.4820486706365839</v>
      </c>
      <c r="AW15" s="70">
        <f t="shared" si="25"/>
        <v>0.23193730581978589</v>
      </c>
      <c r="AX15" s="92">
        <f t="shared" si="26"/>
        <v>0.34343268945504529</v>
      </c>
      <c r="AY15" s="92">
        <f t="shared" si="27"/>
        <v>-0.68471314109777304</v>
      </c>
      <c r="AZ15" s="112">
        <f t="shared" si="28"/>
        <v>-1158400.325843011</v>
      </c>
      <c r="BA15" s="92">
        <f t="shared" si="29"/>
        <v>-0.28962840094444914</v>
      </c>
      <c r="BB15" s="179">
        <f t="shared" si="31"/>
        <v>-1.0119658337953257</v>
      </c>
    </row>
  </sheetData>
  <mergeCells count="16">
    <mergeCell ref="R8:S8"/>
    <mergeCell ref="AT8:AU8"/>
    <mergeCell ref="AZ8:BA8"/>
    <mergeCell ref="C5:D5"/>
    <mergeCell ref="F6:S6"/>
    <mergeCell ref="V6:AU6"/>
    <mergeCell ref="F7:J7"/>
    <mergeCell ref="K7:L7"/>
    <mergeCell ref="M7:Q7"/>
    <mergeCell ref="R7:S7"/>
    <mergeCell ref="V7:Z7"/>
    <mergeCell ref="AC7:AG7"/>
    <mergeCell ref="AH7:AL7"/>
    <mergeCell ref="AM7:AS7"/>
    <mergeCell ref="AT7:AU7"/>
    <mergeCell ref="AA7:AB7"/>
  </mergeCells>
  <conditionalFormatting sqref="AW10:BA15">
    <cfRule type="cellIs" dxfId="37" priority="4" operator="greaterThan">
      <formula>0</formula>
    </cfRule>
  </conditionalFormatting>
  <conditionalFormatting sqref="AW10:BA15">
    <cfRule type="cellIs" dxfId="36" priority="3" operator="lessThan">
      <formula>0</formula>
    </cfRule>
  </conditionalFormatting>
  <conditionalFormatting sqref="BB10:BB15">
    <cfRule type="cellIs" dxfId="35" priority="2" operator="greaterThan">
      <formula>0</formula>
    </cfRule>
  </conditionalFormatting>
  <conditionalFormatting sqref="BB10:BB15">
    <cfRule type="cellIs" dxfId="34" priority="1" operator="lessThan">
      <formula>0</formula>
    </cfRule>
  </conditionalFormatting>
  <dataValidations count="1">
    <dataValidation type="list" allowBlank="1" showInputMessage="1" showErrorMessage="1" sqref="C5">
      <mc:AlternateContent xmlns:x12ac="http://schemas.microsoft.com/office/spreadsheetml/2011/1/ac" xmlns:mc="http://schemas.openxmlformats.org/markup-compatibility/2006">
        <mc:Choice Requires="x12ac">
          <x12ac:list>Memoria CNMC,"0,80","0,85","0,90"</x12ac:list>
        </mc:Choice>
        <mc:Fallback>
          <formula1>"Memoria CNMC,0,80,0,85,0,90"</formula1>
        </mc:Fallback>
      </mc:AlternateContent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6" orientation="landscape" r:id="rId1"/>
  <headerFooter>
    <oddHeader>&amp;LANEXO II: CÁLCULO DEL EFECTO DE LA EVOLUCIÓN DE LOS PEAJES EN EL PERIODO 2020-2026&amp;R&amp;A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B13"/>
  <sheetViews>
    <sheetView showGridLines="0" zoomScale="80" zoomScaleNormal="80" workbookViewId="0">
      <selection activeCell="BB16" sqref="BB16"/>
    </sheetView>
  </sheetViews>
  <sheetFormatPr baseColWidth="10" defaultColWidth="11" defaultRowHeight="16.5" outlineLevelCol="1"/>
  <cols>
    <col min="1" max="1" width="2.140625" style="62" customWidth="1"/>
    <col min="2" max="2" width="10.140625" style="61" customWidth="1"/>
    <col min="3" max="3" width="6.7109375" style="62" customWidth="1"/>
    <col min="4" max="4" width="10.42578125" style="62" customWidth="1"/>
    <col min="5" max="5" width="8.42578125" style="62" customWidth="1"/>
    <col min="6" max="6" width="13.42578125" style="69" hidden="1" customWidth="1" outlineLevel="1"/>
    <col min="7" max="7" width="10" style="69" hidden="1" customWidth="1" outlineLevel="1"/>
    <col min="8" max="8" width="11.5703125" style="73" hidden="1" customWidth="1" outlineLevel="1"/>
    <col min="9" max="9" width="10" style="73" hidden="1" customWidth="1" outlineLevel="1"/>
    <col min="10" max="10" width="13.28515625" style="73" customWidth="1" collapsed="1"/>
    <col min="11" max="11" width="13.42578125" style="62" hidden="1" customWidth="1" outlineLevel="1"/>
    <col min="12" max="12" width="14.5703125" style="62" customWidth="1" collapsed="1"/>
    <col min="13" max="13" width="13.42578125" style="62" hidden="1" customWidth="1" outlineLevel="1"/>
    <col min="14" max="14" width="10" style="62" hidden="1" customWidth="1" outlineLevel="1"/>
    <col min="15" max="15" width="11" style="62" hidden="1" customWidth="1" outlineLevel="1"/>
    <col min="16" max="16" width="12.5703125" style="62" hidden="1" customWidth="1" outlineLevel="1"/>
    <col min="17" max="17" width="12.85546875" style="62" customWidth="1" collapsed="1"/>
    <col min="18" max="18" width="17.28515625" style="62" bestFit="1" customWidth="1"/>
    <col min="19" max="19" width="8.5703125" style="62" customWidth="1"/>
    <col min="20" max="20" width="1.42578125" style="62" customWidth="1"/>
    <col min="21" max="21" width="9" style="62" customWidth="1"/>
    <col min="22" max="22" width="13.42578125" style="62" hidden="1" customWidth="1" outlineLevel="1"/>
    <col min="23" max="23" width="8.5703125" style="62" hidden="1" customWidth="1" outlineLevel="1"/>
    <col min="24" max="24" width="11.5703125" style="62" hidden="1" customWidth="1" outlineLevel="1"/>
    <col min="25" max="25" width="9.140625" style="62" hidden="1" customWidth="1" outlineLevel="1"/>
    <col min="26" max="26" width="12.28515625" style="62" customWidth="1" collapsed="1"/>
    <col min="27" max="27" width="12.28515625" style="62" hidden="1" customWidth="1" outlineLevel="1"/>
    <col min="28" max="28" width="12.28515625" style="62" customWidth="1" collapsed="1"/>
    <col min="29" max="32" width="13.42578125" style="62" hidden="1" customWidth="1" outlineLevel="1"/>
    <col min="33" max="33" width="15" style="62" customWidth="1" collapsed="1"/>
    <col min="34" max="37" width="13.42578125" style="62" hidden="1" customWidth="1" outlineLevel="1"/>
    <col min="38" max="38" width="13.7109375" style="62" customWidth="1" collapsed="1"/>
    <col min="39" max="39" width="13.42578125" style="62" hidden="1" customWidth="1" outlineLevel="1"/>
    <col min="40" max="40" width="10.7109375" style="62" hidden="1" customWidth="1" outlineLevel="1"/>
    <col min="41" max="41" width="7.42578125" style="62" hidden="1" customWidth="1" outlineLevel="1"/>
    <col min="42" max="42" width="11.5703125" style="62" hidden="1" customWidth="1" outlineLevel="1"/>
    <col min="43" max="43" width="11.42578125" style="62" hidden="1" customWidth="1" outlineLevel="1"/>
    <col min="44" max="44" width="11.5703125" style="62" hidden="1" customWidth="1" outlineLevel="1"/>
    <col min="45" max="45" width="11.85546875" style="62" customWidth="1" collapsed="1"/>
    <col min="46" max="46" width="11.42578125" style="62" bestFit="1" customWidth="1"/>
    <col min="47" max="47" width="8.42578125" style="62" customWidth="1"/>
    <col min="48" max="48" width="0.7109375" style="62" customWidth="1"/>
    <col min="49" max="49" width="11" style="69" hidden="1" customWidth="1" outlineLevel="1"/>
    <col min="50" max="50" width="12.140625" style="69" hidden="1" customWidth="1" outlineLevel="1"/>
    <col min="51" max="51" width="10.5703125" style="62" hidden="1" customWidth="1" outlineLevel="1"/>
    <col min="52" max="52" width="11.42578125" style="62" customWidth="1" collapsed="1"/>
    <col min="53" max="53" width="9.42578125" style="62" customWidth="1"/>
    <col min="54" max="54" width="8.42578125" style="62" bestFit="1" customWidth="1"/>
    <col min="55" max="16384" width="11" style="62"/>
  </cols>
  <sheetData>
    <row r="2" spans="2:54" ht="18">
      <c r="B2" s="188" t="s">
        <v>191</v>
      </c>
    </row>
    <row r="3" spans="2:54" ht="20.25">
      <c r="B3" s="189" t="s">
        <v>193</v>
      </c>
    </row>
    <row r="5" spans="2:54">
      <c r="B5" s="115" t="s">
        <v>38</v>
      </c>
      <c r="C5" s="262" t="s">
        <v>105</v>
      </c>
      <c r="D5" s="263"/>
    </row>
    <row r="6" spans="2:54">
      <c r="B6" s="62"/>
      <c r="F6" s="264" t="s">
        <v>100</v>
      </c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6"/>
      <c r="V6" s="267" t="s">
        <v>101</v>
      </c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  <c r="AQ6" s="268"/>
      <c r="AR6" s="268"/>
      <c r="AS6" s="268"/>
      <c r="AT6" s="268"/>
      <c r="AU6" s="269"/>
    </row>
    <row r="7" spans="2:54">
      <c r="F7" s="270" t="s">
        <v>94</v>
      </c>
      <c r="G7" s="271"/>
      <c r="H7" s="271"/>
      <c r="I7" s="271"/>
      <c r="J7" s="272"/>
      <c r="K7" s="270" t="s">
        <v>95</v>
      </c>
      <c r="L7" s="272"/>
      <c r="M7" s="270" t="s">
        <v>96</v>
      </c>
      <c r="N7" s="271"/>
      <c r="O7" s="271"/>
      <c r="P7" s="271"/>
      <c r="Q7" s="272"/>
      <c r="R7" s="270" t="s">
        <v>99</v>
      </c>
      <c r="S7" s="272"/>
      <c r="V7" s="273" t="s">
        <v>94</v>
      </c>
      <c r="W7" s="274"/>
      <c r="X7" s="274"/>
      <c r="Y7" s="274"/>
      <c r="Z7" s="275"/>
      <c r="AA7" s="273" t="s">
        <v>132</v>
      </c>
      <c r="AB7" s="275"/>
      <c r="AC7" s="273" t="s">
        <v>133</v>
      </c>
      <c r="AD7" s="274"/>
      <c r="AE7" s="274"/>
      <c r="AF7" s="274"/>
      <c r="AG7" s="275"/>
      <c r="AH7" s="273" t="s">
        <v>134</v>
      </c>
      <c r="AI7" s="274"/>
      <c r="AJ7" s="274"/>
      <c r="AK7" s="274"/>
      <c r="AL7" s="275"/>
      <c r="AM7" s="273" t="s">
        <v>104</v>
      </c>
      <c r="AN7" s="274"/>
      <c r="AO7" s="274"/>
      <c r="AP7" s="274"/>
      <c r="AQ7" s="274"/>
      <c r="AR7" s="274"/>
      <c r="AS7" s="275"/>
      <c r="AT7" s="273" t="s">
        <v>99</v>
      </c>
      <c r="AU7" s="275"/>
    </row>
    <row r="8" spans="2:54">
      <c r="B8" s="63" t="s">
        <v>86</v>
      </c>
      <c r="C8" s="135" t="s">
        <v>38</v>
      </c>
      <c r="D8" s="134" t="s">
        <v>88</v>
      </c>
      <c r="F8" s="129" t="s">
        <v>54</v>
      </c>
      <c r="G8" s="75" t="s">
        <v>91</v>
      </c>
      <c r="H8" s="78" t="s">
        <v>54</v>
      </c>
      <c r="I8" s="78" t="s">
        <v>91</v>
      </c>
      <c r="J8" s="79" t="s">
        <v>92</v>
      </c>
      <c r="K8" s="129" t="s">
        <v>54</v>
      </c>
      <c r="L8" s="130" t="s">
        <v>92</v>
      </c>
      <c r="M8" s="129" t="s">
        <v>50</v>
      </c>
      <c r="N8" s="75" t="s">
        <v>91</v>
      </c>
      <c r="O8" s="75" t="s">
        <v>50</v>
      </c>
      <c r="P8" s="75" t="s">
        <v>91</v>
      </c>
      <c r="Q8" s="130" t="s">
        <v>92</v>
      </c>
      <c r="R8" s="257" t="s">
        <v>98</v>
      </c>
      <c r="S8" s="258"/>
      <c r="V8" s="132" t="s">
        <v>54</v>
      </c>
      <c r="W8" s="84" t="s">
        <v>91</v>
      </c>
      <c r="X8" s="85" t="s">
        <v>54</v>
      </c>
      <c r="Y8" s="85" t="s">
        <v>91</v>
      </c>
      <c r="Z8" s="86" t="s">
        <v>92</v>
      </c>
      <c r="AA8" s="181"/>
      <c r="AB8" s="180" t="s">
        <v>92</v>
      </c>
      <c r="AC8" s="132" t="s">
        <v>54</v>
      </c>
      <c r="AD8" s="84" t="s">
        <v>91</v>
      </c>
      <c r="AE8" s="84" t="s">
        <v>54</v>
      </c>
      <c r="AF8" s="84" t="s">
        <v>91</v>
      </c>
      <c r="AG8" s="133" t="s">
        <v>92</v>
      </c>
      <c r="AH8" s="132" t="s">
        <v>54</v>
      </c>
      <c r="AI8" s="84" t="s">
        <v>91</v>
      </c>
      <c r="AJ8" s="84" t="s">
        <v>54</v>
      </c>
      <c r="AK8" s="84" t="s">
        <v>91</v>
      </c>
      <c r="AL8" s="133" t="s">
        <v>92</v>
      </c>
      <c r="AM8" s="132" t="s">
        <v>90</v>
      </c>
      <c r="AN8" s="84" t="s">
        <v>50</v>
      </c>
      <c r="AO8" s="84" t="s">
        <v>91</v>
      </c>
      <c r="AP8" s="84" t="s">
        <v>90</v>
      </c>
      <c r="AQ8" s="84" t="s">
        <v>50</v>
      </c>
      <c r="AR8" s="84" t="s">
        <v>91</v>
      </c>
      <c r="AS8" s="133" t="s">
        <v>92</v>
      </c>
      <c r="AT8" s="259" t="s">
        <v>98</v>
      </c>
      <c r="AU8" s="260"/>
      <c r="AW8" s="131" t="s">
        <v>94</v>
      </c>
      <c r="AX8" s="131" t="s">
        <v>95</v>
      </c>
      <c r="AY8" s="131" t="s">
        <v>96</v>
      </c>
      <c r="AZ8" s="261" t="s">
        <v>92</v>
      </c>
      <c r="BA8" s="261"/>
    </row>
    <row r="9" spans="2:54" s="69" customFormat="1">
      <c r="B9" s="66" t="s">
        <v>87</v>
      </c>
      <c r="C9" s="67" t="s">
        <v>53</v>
      </c>
      <c r="D9" s="68" t="s">
        <v>37</v>
      </c>
      <c r="E9" s="123" t="s">
        <v>89</v>
      </c>
      <c r="F9" s="68" t="s">
        <v>58</v>
      </c>
      <c r="G9" s="68" t="s">
        <v>12</v>
      </c>
      <c r="H9" s="72" t="s">
        <v>93</v>
      </c>
      <c r="I9" s="72" t="s">
        <v>93</v>
      </c>
      <c r="J9" s="72" t="s">
        <v>93</v>
      </c>
      <c r="K9" s="68" t="s">
        <v>58</v>
      </c>
      <c r="L9" s="68" t="s">
        <v>93</v>
      </c>
      <c r="M9" s="68" t="s">
        <v>97</v>
      </c>
      <c r="N9" s="68" t="s">
        <v>12</v>
      </c>
      <c r="O9" s="68" t="s">
        <v>93</v>
      </c>
      <c r="P9" s="68" t="s">
        <v>93</v>
      </c>
      <c r="Q9" s="68" t="s">
        <v>93</v>
      </c>
      <c r="R9" s="68" t="s">
        <v>93</v>
      </c>
      <c r="S9" s="68" t="s">
        <v>12</v>
      </c>
      <c r="U9" s="122" t="s">
        <v>89</v>
      </c>
      <c r="V9" s="68" t="s">
        <v>58</v>
      </c>
      <c r="W9" s="68" t="s">
        <v>12</v>
      </c>
      <c r="X9" s="72" t="s">
        <v>93</v>
      </c>
      <c r="Y9" s="72" t="s">
        <v>93</v>
      </c>
      <c r="Z9" s="72" t="s">
        <v>93</v>
      </c>
      <c r="AA9" s="68" t="s">
        <v>12</v>
      </c>
      <c r="AB9" s="72" t="s">
        <v>93</v>
      </c>
      <c r="AC9" s="68" t="s">
        <v>58</v>
      </c>
      <c r="AD9" s="68" t="s">
        <v>12</v>
      </c>
      <c r="AE9" s="68" t="s">
        <v>93</v>
      </c>
      <c r="AF9" s="68" t="s">
        <v>93</v>
      </c>
      <c r="AG9" s="68" t="s">
        <v>93</v>
      </c>
      <c r="AH9" s="68" t="s">
        <v>58</v>
      </c>
      <c r="AI9" s="68" t="s">
        <v>12</v>
      </c>
      <c r="AJ9" s="68" t="s">
        <v>93</v>
      </c>
      <c r="AK9" s="68" t="s">
        <v>93</v>
      </c>
      <c r="AL9" s="68" t="s">
        <v>93</v>
      </c>
      <c r="AM9" s="68" t="s">
        <v>58</v>
      </c>
      <c r="AN9" s="68" t="s">
        <v>97</v>
      </c>
      <c r="AO9" s="68" t="s">
        <v>12</v>
      </c>
      <c r="AP9" s="68" t="s">
        <v>93</v>
      </c>
      <c r="AQ9" s="68" t="s">
        <v>93</v>
      </c>
      <c r="AR9" s="68" t="s">
        <v>93</v>
      </c>
      <c r="AS9" s="68" t="s">
        <v>93</v>
      </c>
      <c r="AT9" s="68" t="s">
        <v>93</v>
      </c>
      <c r="AU9" s="68" t="s">
        <v>12</v>
      </c>
      <c r="AW9" s="93" t="s">
        <v>102</v>
      </c>
      <c r="AX9" s="93" t="s">
        <v>102</v>
      </c>
      <c r="AY9" s="93" t="s">
        <v>102</v>
      </c>
      <c r="AZ9" s="95" t="s">
        <v>103</v>
      </c>
      <c r="BA9" s="96" t="s">
        <v>53</v>
      </c>
      <c r="BB9" s="178" t="s">
        <v>129</v>
      </c>
    </row>
    <row r="10" spans="2:54">
      <c r="B10" s="98">
        <v>2.74</v>
      </c>
      <c r="C10" s="99">
        <f>IF($C$5&lt;&gt;"Memoria CNMC",$C$5,IF(B10&gt;'Tipología Clientes'!$C$16,'Tipología Clientes'!$L$16,IF(B10&gt;'Tipología Clientes'!$C$15,'Tipología Clientes'!$L$15,IF(B10&gt;'Tipología Clientes'!$C$14,'Tipología Clientes'!$L$14,IF(B10&gt;'Tipología Clientes'!$C$13,'Tipología Clientes'!$L$13,IF(B10&gt;'Tipología Clientes'!$C$12,'Tipología Clientes'!$L$12,IF(B10&gt;'Tipología Clientes'!$C$11,'Tipología Clientes'!$L$11,IF(B10&gt;'Tipología Clientes'!$C$10,'Tipología Clientes'!$L$10,IF(B10&gt;'Tipología Clientes'!$C$9,'Tipología Clientes'!$L$9,IF(B10&gt;'Tipología Clientes'!$C$8,'Tipología Clientes'!$L$8,IF(B10&gt;'Tipología Clientes'!$C$7,'Tipología Clientes'!$L$7,'Tipología Clientes'!$L$6)))))))))))</f>
        <v>0.41011804141973951</v>
      </c>
      <c r="D10" s="100">
        <f>B10/365/C10</f>
        <v>1.8304118709533999E-2</v>
      </c>
      <c r="E10" s="71" t="str">
        <f>IF(B10&gt;'Peajes Actuales'!$C$14,'Peajes Actuales'!$B$14,IF(B10&gt;'Peajes Actuales'!$C$13,'Peajes Actuales'!$B$13,IF(B10&gt;'Peajes Actuales'!$C$12,'Peajes Actuales'!$B$12,'Peajes Actuales'!$B$11)))</f>
        <v>3.1</v>
      </c>
      <c r="F10" s="81">
        <f>'Peajes Actuales'!$H$29</f>
        <v>19.612000000000002</v>
      </c>
      <c r="G10" s="81">
        <f>'Peajes Actuales'!$I$29</f>
        <v>0.11599999999999999</v>
      </c>
      <c r="H10" s="110">
        <f>D10*F10*12</f>
        <v>4.3077645135765703</v>
      </c>
      <c r="I10" s="110">
        <f>B10*G10</f>
        <v>0.31784000000000001</v>
      </c>
      <c r="J10" s="109">
        <f>H10+I10</f>
        <v>4.6256045135765707</v>
      </c>
      <c r="K10" s="82">
        <f>'Peajes Actuales'!$I$5</f>
        <v>10.848000000000001</v>
      </c>
      <c r="L10" s="109">
        <f>12*K10*D10</f>
        <v>2.382756957132298</v>
      </c>
      <c r="M10" s="80">
        <f>VLOOKUP(E10,'Peajes Actuales'!$B$11:$J$14,8,FALSE)</f>
        <v>2.5299999999999998</v>
      </c>
      <c r="N10" s="83">
        <f>VLOOKUP(E10,'Peajes Actuales'!$B$11:$J$14,9,FALSE)</f>
        <v>29.286999999999999</v>
      </c>
      <c r="O10" s="110">
        <f>M10*12</f>
        <v>30.36</v>
      </c>
      <c r="P10" s="110">
        <f>B10*N10</f>
        <v>80.246380000000002</v>
      </c>
      <c r="Q10" s="109">
        <f>SUM(O10:P10)</f>
        <v>110.60638</v>
      </c>
      <c r="R10" s="111">
        <f>J10+L10+Q10</f>
        <v>117.61474147070886</v>
      </c>
      <c r="S10" s="74">
        <f>R10/B10</f>
        <v>42.925088127995934</v>
      </c>
      <c r="U10" s="71" t="str">
        <f>IF(B10&gt;'Peajes Circular CNMC'!$C$23,'Peajes Circular CNMC'!$B$23,IF(B10&gt;'Peajes Circular CNMC'!$C$22,'Peajes Circular CNMC'!$B$22,IF(B10&gt;'Peajes Circular CNMC'!$C$21,'Peajes Circular CNMC'!$B$21,IF(B10&gt;'Peajes Circular CNMC'!$C$20,'Peajes Circular CNMC'!$B$20,IF(B10&gt;'Peajes Circular CNMC'!$C$19,'Peajes Circular CNMC'!$B$19,IF(B10&gt;'Peajes Circular CNMC'!$C$18,'Peajes Circular CNMC'!$B$18,IF(B10&gt;'Peajes Circular CNMC'!$C$17,'Peajes Circular CNMC'!$B$17,IF(B10&gt;'Peajes Circular CNMC'!$C$16,'Peajes Circular CNMC'!$B$16,IF(B10&gt;'Peajes Circular CNMC'!$C$15,'Peajes Circular CNMC'!$B$15,IF(B10&gt;'Peajes Circular CNMC'!$C$14,'Peajes Circular CNMC'!$B$14,'Peajes Circular CNMC'!$B$13))))))))))</f>
        <v>D.1</v>
      </c>
      <c r="V10" s="89">
        <f>'Peajes Circular CNMC'!$H$30</f>
        <v>25.224</v>
      </c>
      <c r="W10" s="81">
        <f>'Peajes Circular CNMC'!$I$30</f>
        <v>0.10178</v>
      </c>
      <c r="X10" s="110">
        <f>12*V10*D10</f>
        <v>5.540437083951427</v>
      </c>
      <c r="Y10" s="110">
        <f>W10*B10</f>
        <v>0.27887719999999999</v>
      </c>
      <c r="Z10" s="109">
        <f>X10+Y10</f>
        <v>5.8193142839514271</v>
      </c>
      <c r="AA10" s="81">
        <f>'Peajes Circular CNMC'!$H$35</f>
        <v>0.14737</v>
      </c>
      <c r="AB10" s="109">
        <f>B10*AA10</f>
        <v>0.40379380000000004</v>
      </c>
      <c r="AC10" s="90">
        <f>'Peajes Circular CNMC'!$J$6</f>
        <v>13.922499999999999</v>
      </c>
      <c r="AD10" s="90">
        <f>'Peajes Circular CNMC'!$J$7</f>
        <v>2.5181930000000002E-2</v>
      </c>
      <c r="AE10" s="110">
        <f>AC10*12*D10</f>
        <v>3.0580691128018449</v>
      </c>
      <c r="AF10" s="110">
        <f>AD10*B10</f>
        <v>6.8998488200000013E-2</v>
      </c>
      <c r="AG10" s="109">
        <f>AE10+AF10</f>
        <v>3.127067601001845</v>
      </c>
      <c r="AH10" s="90">
        <f>'Peajes Circular CNMC'!$K$6</f>
        <v>8.5966666666666658</v>
      </c>
      <c r="AI10" s="90">
        <f>'Peajes Circular CNMC'!$K$7</f>
        <v>2.5181930000000002E-2</v>
      </c>
      <c r="AJ10" s="110">
        <f>AH10*12*D10</f>
        <v>1.8882528860755272</v>
      </c>
      <c r="AK10" s="110">
        <f>AI10*B10</f>
        <v>6.8998488200000013E-2</v>
      </c>
      <c r="AL10" s="109">
        <f>AJ10+AK10</f>
        <v>1.9572513742755273</v>
      </c>
      <c r="AM10" s="91">
        <f>VLOOKUP(U10,'Peajes Circular CNMC'!$B$13:$J$23,7,FALSE)</f>
        <v>0</v>
      </c>
      <c r="AN10" s="80">
        <f>VLOOKUP(U10,'Peajes Circular CNMC'!$B$13:$J$23,8,FALSE)</f>
        <v>0.4224</v>
      </c>
      <c r="AO10" s="80">
        <f>VLOOKUP(U10,'Peajes Circular CNMC'!$B$13:$J$23,9,FALSE)</f>
        <v>13.1122</v>
      </c>
      <c r="AP10" s="110">
        <f>12*AM10*D10</f>
        <v>0</v>
      </c>
      <c r="AQ10" s="110">
        <f>12*AN10</f>
        <v>5.0687999999999995</v>
      </c>
      <c r="AR10" s="110">
        <f>AO10*B10</f>
        <v>35.927427999999999</v>
      </c>
      <c r="AS10" s="109">
        <f>AP10+AQ10+AR10</f>
        <v>40.996228000000002</v>
      </c>
      <c r="AT10" s="111">
        <f>Z10+AB10+AG10+AL10+AS10</f>
        <v>52.303655059228802</v>
      </c>
      <c r="AU10" s="74">
        <f>AT10/B10</f>
        <v>19.0889252040981</v>
      </c>
      <c r="AW10" s="70">
        <f>(Z10-J10)/J10</f>
        <v>0.25806567917149198</v>
      </c>
      <c r="AX10" s="92">
        <f>(AG10-L10)/L10</f>
        <v>0.31237371551538423</v>
      </c>
      <c r="AY10" s="92">
        <f>(AL10+AS10-Q10)/Q10</f>
        <v>-0.6116545955642384</v>
      </c>
      <c r="AZ10" s="112">
        <f t="shared" ref="AZ10:AZ13" si="0">AT10-R10</f>
        <v>-65.311086411480062</v>
      </c>
      <c r="BA10" s="92">
        <f t="shared" ref="BA10:BA13" si="1">AZ10/R10</f>
        <v>-0.55529677313234871</v>
      </c>
      <c r="BB10" s="179">
        <f>AU10-S10</f>
        <v>-23.836162923897835</v>
      </c>
    </row>
    <row r="11" spans="2:54">
      <c r="B11" s="98">
        <v>9.8190000000000008</v>
      </c>
      <c r="C11" s="99">
        <f>IF($C$5&lt;&gt;"Memoria CNMC",$C$5,IF(B11&gt;'Tipología Clientes'!$C$16,'Tipología Clientes'!$L$16,IF(B11&gt;'Tipología Clientes'!$C$15,'Tipología Clientes'!$L$15,IF(B11&gt;'Tipología Clientes'!$C$14,'Tipología Clientes'!$L$14,IF(B11&gt;'Tipología Clientes'!$C$13,'Tipología Clientes'!$L$13,IF(B11&gt;'Tipología Clientes'!$C$12,'Tipología Clientes'!$L$12,IF(B11&gt;'Tipología Clientes'!$C$11,'Tipología Clientes'!$L$11,IF(B11&gt;'Tipología Clientes'!$C$10,'Tipología Clientes'!$L$10,IF(B11&gt;'Tipología Clientes'!$C$9,'Tipología Clientes'!$L$9,IF(B11&gt;'Tipología Clientes'!$C$8,'Tipología Clientes'!$L$8,IF(B11&gt;'Tipología Clientes'!$C$7,'Tipología Clientes'!$L$7,'Tipología Clientes'!$L$6)))))))))))</f>
        <v>0.37354729180664842</v>
      </c>
      <c r="D11" s="100">
        <f t="shared" ref="D11:D13" si="2">B11/365/C11</f>
        <v>7.2015968133261429E-2</v>
      </c>
      <c r="E11" s="71" t="str">
        <f>IF(B11&gt;'Peajes Actuales'!$C$14,'Peajes Actuales'!$B$14,IF(B11&gt;'Peajes Actuales'!$C$13,'Peajes Actuales'!$B$13,IF(B11&gt;'Peajes Actuales'!$C$12,'Peajes Actuales'!$B$12,'Peajes Actuales'!$B$11)))</f>
        <v>3.2</v>
      </c>
      <c r="F11" s="81">
        <f>'Peajes Actuales'!$H$29</f>
        <v>19.612000000000002</v>
      </c>
      <c r="G11" s="81">
        <f>'Peajes Actuales'!$I$29</f>
        <v>0.11599999999999999</v>
      </c>
      <c r="H11" s="110">
        <f t="shared" ref="H11:H13" si="3">D11*F11*12</f>
        <v>16.948526004354278</v>
      </c>
      <c r="I11" s="110">
        <f t="shared" ref="I11:I13" si="4">B11*G11</f>
        <v>1.1390040000000001</v>
      </c>
      <c r="J11" s="109">
        <f t="shared" ref="J11:J13" si="5">H11+I11</f>
        <v>18.087530004354278</v>
      </c>
      <c r="K11" s="82">
        <f>'Peajes Actuales'!$I$5</f>
        <v>10.848000000000001</v>
      </c>
      <c r="L11" s="109">
        <f t="shared" ref="L11:L13" si="6">12*K11*D11</f>
        <v>9.3747506677154409</v>
      </c>
      <c r="M11" s="80">
        <f>VLOOKUP(E11,'Peajes Actuales'!$B$11:$J$14,8,FALSE)</f>
        <v>5.79</v>
      </c>
      <c r="N11" s="83">
        <f>VLOOKUP(E11,'Peajes Actuales'!$B$11:$J$14,9,FALSE)</f>
        <v>22.413</v>
      </c>
      <c r="O11" s="110">
        <f t="shared" ref="O11:O13" si="7">M11*12</f>
        <v>69.48</v>
      </c>
      <c r="P11" s="110">
        <f t="shared" ref="P11:P13" si="8">B11*N11</f>
        <v>220.07324700000001</v>
      </c>
      <c r="Q11" s="109">
        <f t="shared" ref="Q11:Q13" si="9">SUM(O11:P11)</f>
        <v>289.553247</v>
      </c>
      <c r="R11" s="111">
        <f t="shared" ref="R11:R13" si="10">J11+L11+Q11</f>
        <v>317.01552767206971</v>
      </c>
      <c r="S11" s="74">
        <f t="shared" ref="S11:S13" si="11">R11/B11</f>
        <v>32.285928065186852</v>
      </c>
      <c r="U11" s="71" t="str">
        <f>IF(B11&gt;'Peajes Circular CNMC'!$C$23,'Peajes Circular CNMC'!$B$23,IF(B11&gt;'Peajes Circular CNMC'!$C$22,'Peajes Circular CNMC'!$B$22,IF(B11&gt;'Peajes Circular CNMC'!$C$21,'Peajes Circular CNMC'!$B$21,IF(B11&gt;'Peajes Circular CNMC'!$C$20,'Peajes Circular CNMC'!$B$20,IF(B11&gt;'Peajes Circular CNMC'!$C$19,'Peajes Circular CNMC'!$B$19,IF(B11&gt;'Peajes Circular CNMC'!$C$18,'Peajes Circular CNMC'!$B$18,IF(B11&gt;'Peajes Circular CNMC'!$C$17,'Peajes Circular CNMC'!$B$17,IF(B11&gt;'Peajes Circular CNMC'!$C$16,'Peajes Circular CNMC'!$B$16,IF(B11&gt;'Peajes Circular CNMC'!$C$15,'Peajes Circular CNMC'!$B$15,IF(B11&gt;'Peajes Circular CNMC'!$C$14,'Peajes Circular CNMC'!$B$14,'Peajes Circular CNMC'!$B$13))))))))))</f>
        <v>D.2</v>
      </c>
      <c r="V11" s="89">
        <f>'Peajes Circular CNMC'!$H$30</f>
        <v>25.224</v>
      </c>
      <c r="W11" s="81">
        <f>'Peajes Circular CNMC'!$I$30</f>
        <v>0.10178</v>
      </c>
      <c r="X11" s="110">
        <f t="shared" ref="X11:X13" si="12">12*V11*D11</f>
        <v>21.798369362320635</v>
      </c>
      <c r="Y11" s="110">
        <f t="shared" ref="Y11:Y13" si="13">W11*B11</f>
        <v>0.99937782000000008</v>
      </c>
      <c r="Z11" s="109">
        <f t="shared" ref="Z11:Z13" si="14">X11+Y11</f>
        <v>22.797747182320634</v>
      </c>
      <c r="AA11" s="81">
        <f>'Peajes Circular CNMC'!$H$35</f>
        <v>0.14737</v>
      </c>
      <c r="AB11" s="109">
        <f t="shared" ref="AB11:AB13" si="15">B11*AA11</f>
        <v>1.4470260300000002</v>
      </c>
      <c r="AC11" s="90">
        <f>'Peajes Circular CNMC'!$J$6</f>
        <v>13.922499999999999</v>
      </c>
      <c r="AD11" s="90">
        <f>'Peajes Circular CNMC'!$J$7</f>
        <v>2.5181930000000002E-2</v>
      </c>
      <c r="AE11" s="110">
        <f t="shared" ref="AE11:AE13" si="16">AC11*12*D11</f>
        <v>12.031707796023987</v>
      </c>
      <c r="AF11" s="110">
        <f t="shared" ref="AF11:AF13" si="17">AD11*B11</f>
        <v>0.24726137067000004</v>
      </c>
      <c r="AG11" s="109">
        <f t="shared" ref="AG11:AG13" si="18">AE11+AF11</f>
        <v>12.278969166693987</v>
      </c>
      <c r="AH11" s="90">
        <f>'Peajes Circular CNMC'!$K$6</f>
        <v>8.5966666666666658</v>
      </c>
      <c r="AI11" s="90">
        <f>'Peajes Circular CNMC'!$K$7</f>
        <v>2.5181930000000002E-2</v>
      </c>
      <c r="AJ11" s="110">
        <f t="shared" ref="AJ11:AJ13" si="19">AH11*12*D11</f>
        <v>7.4291672726272484</v>
      </c>
      <c r="AK11" s="110">
        <f t="shared" ref="AK11:AK13" si="20">AI11*B11</f>
        <v>0.24726137067000004</v>
      </c>
      <c r="AL11" s="109">
        <f t="shared" ref="AL11:AL13" si="21">AJ11+AK11</f>
        <v>7.6764286432972488</v>
      </c>
      <c r="AM11" s="91">
        <f>VLOOKUP(U11,'Peajes Circular CNMC'!$B$13:$J$23,7,FALSE)</f>
        <v>0</v>
      </c>
      <c r="AN11" s="80">
        <f>VLOOKUP(U11,'Peajes Circular CNMC'!$B$13:$J$23,8,FALSE)</f>
        <v>2.2261000000000002</v>
      </c>
      <c r="AO11" s="80">
        <f>VLOOKUP(U11,'Peajes Circular CNMC'!$B$13:$J$23,9,FALSE)</f>
        <v>14.2348</v>
      </c>
      <c r="AP11" s="110">
        <f t="shared" ref="AP11:AP13" si="22">12*AM11*D11</f>
        <v>0</v>
      </c>
      <c r="AQ11" s="110">
        <f t="shared" ref="AQ11:AQ13" si="23">12*AN11</f>
        <v>26.713200000000001</v>
      </c>
      <c r="AR11" s="110">
        <f t="shared" ref="AR11:AR13" si="24">AO11*B11</f>
        <v>139.77150120000002</v>
      </c>
      <c r="AS11" s="109">
        <f t="shared" ref="AS11:AS13" si="25">AP11+AQ11+AR11</f>
        <v>166.48470120000002</v>
      </c>
      <c r="AT11" s="111">
        <f>Z11+AB11+AG11+AL11+AS11</f>
        <v>210.6848722223119</v>
      </c>
      <c r="AU11" s="74">
        <f t="shared" ref="AU11:AU13" si="26">AT11/B11</f>
        <v>21.45685632165311</v>
      </c>
      <c r="AW11" s="70">
        <f t="shared" ref="AW11:AW13" si="27">(Z11-J11)/J11</f>
        <v>0.26041240439310664</v>
      </c>
      <c r="AX11" s="92">
        <f t="shared" ref="AX11:AX13" si="28">(AG11-L11)/L11</f>
        <v>0.30979154560131711</v>
      </c>
      <c r="AY11" s="92">
        <f t="shared" ref="AY11:AY13" si="29">(AL11+AS11-Q11)/Q11</f>
        <v>-0.39851777989801901</v>
      </c>
      <c r="AZ11" s="112">
        <f t="shared" si="0"/>
        <v>-106.33065544975781</v>
      </c>
      <c r="BA11" s="92">
        <f t="shared" si="1"/>
        <v>-0.33541150564633981</v>
      </c>
      <c r="BB11" s="179">
        <f t="shared" ref="BB11:BB13" si="30">AU11-S11</f>
        <v>-10.829071743533742</v>
      </c>
    </row>
    <row r="12" spans="2:54">
      <c r="B12" s="97">
        <v>71.343000000000004</v>
      </c>
      <c r="C12" s="99">
        <f>IF($C$5&lt;&gt;"Memoria CNMC",$C$5,IF(B12&gt;'Tipología Clientes'!$C$16,'Tipología Clientes'!$L$16,IF(B12&gt;'Tipología Clientes'!$C$15,'Tipología Clientes'!$L$15,IF(B12&gt;'Tipología Clientes'!$C$14,'Tipología Clientes'!$L$14,IF(B12&gt;'Tipología Clientes'!$C$13,'Tipología Clientes'!$L$13,IF(B12&gt;'Tipología Clientes'!$C$12,'Tipología Clientes'!$L$12,IF(B12&gt;'Tipología Clientes'!$C$11,'Tipología Clientes'!$L$11,IF(B12&gt;'Tipología Clientes'!$C$10,'Tipología Clientes'!$L$10,IF(B12&gt;'Tipología Clientes'!$C$9,'Tipología Clientes'!$L$9,IF(B12&gt;'Tipología Clientes'!$C$8,'Tipología Clientes'!$L$8,IF(B12&gt;'Tipología Clientes'!$C$7,'Tipología Clientes'!$L$7,'Tipología Clientes'!$L$6)))))))))))</f>
        <v>0.43037532312486537</v>
      </c>
      <c r="D12" s="100">
        <f t="shared" si="2"/>
        <v>0.45416236357002648</v>
      </c>
      <c r="E12" s="71" t="str">
        <f>IF(B12&gt;'Peajes Actuales'!$C$14,'Peajes Actuales'!$B$14,IF(B12&gt;'Peajes Actuales'!$C$13,'Peajes Actuales'!$B$13,IF(B12&gt;'Peajes Actuales'!$C$12,'Peajes Actuales'!$B$12,'Peajes Actuales'!$B$11)))</f>
        <v>3.3</v>
      </c>
      <c r="F12" s="81">
        <f>'Peajes Actuales'!$H$29</f>
        <v>19.612000000000002</v>
      </c>
      <c r="G12" s="81">
        <f>'Peajes Actuales'!$I$29</f>
        <v>0.11599999999999999</v>
      </c>
      <c r="H12" s="110">
        <f t="shared" si="3"/>
        <v>106.88438729202433</v>
      </c>
      <c r="I12" s="110">
        <f t="shared" si="4"/>
        <v>8.2757880000000004</v>
      </c>
      <c r="J12" s="109">
        <f t="shared" si="5"/>
        <v>115.16017529202433</v>
      </c>
      <c r="K12" s="82">
        <f>'Peajes Actuales'!$I$5</f>
        <v>10.848000000000001</v>
      </c>
      <c r="L12" s="109">
        <f t="shared" si="6"/>
        <v>59.121039840091775</v>
      </c>
      <c r="M12" s="80">
        <f>VLOOKUP(E12,'Peajes Actuales'!$B$11:$J$14,8,FALSE)</f>
        <v>54.22</v>
      </c>
      <c r="N12" s="83">
        <f>VLOOKUP(E12,'Peajes Actuales'!$B$11:$J$14,9,FALSE)</f>
        <v>16.117000000000001</v>
      </c>
      <c r="O12" s="110">
        <f t="shared" si="7"/>
        <v>650.64</v>
      </c>
      <c r="P12" s="110">
        <f t="shared" si="8"/>
        <v>1149.835131</v>
      </c>
      <c r="Q12" s="109">
        <f t="shared" si="9"/>
        <v>1800.4751310000001</v>
      </c>
      <c r="R12" s="111">
        <f t="shared" si="10"/>
        <v>1974.7563461321163</v>
      </c>
      <c r="S12" s="74">
        <f t="shared" si="11"/>
        <v>27.679749185373705</v>
      </c>
      <c r="U12" s="71" t="str">
        <f>IF(B12&gt;'Peajes Circular CNMC'!$C$23,'Peajes Circular CNMC'!$B$23,IF(B12&gt;'Peajes Circular CNMC'!$C$22,'Peajes Circular CNMC'!$B$22,IF(B12&gt;'Peajes Circular CNMC'!$C$21,'Peajes Circular CNMC'!$B$21,IF(B12&gt;'Peajes Circular CNMC'!$C$20,'Peajes Circular CNMC'!$B$20,IF(B12&gt;'Peajes Circular CNMC'!$C$19,'Peajes Circular CNMC'!$B$19,IF(B12&gt;'Peajes Circular CNMC'!$C$18,'Peajes Circular CNMC'!$B$18,IF(B12&gt;'Peajes Circular CNMC'!$C$17,'Peajes Circular CNMC'!$B$17,IF(B12&gt;'Peajes Circular CNMC'!$C$16,'Peajes Circular CNMC'!$B$16,IF(B12&gt;'Peajes Circular CNMC'!$C$15,'Peajes Circular CNMC'!$B$15,IF(B12&gt;'Peajes Circular CNMC'!$C$14,'Peajes Circular CNMC'!$B$14,'Peajes Circular CNMC'!$B$13))))))))))</f>
        <v>D.4</v>
      </c>
      <c r="V12" s="89">
        <f>'Peajes Circular CNMC'!$H$30</f>
        <v>25.224</v>
      </c>
      <c r="W12" s="81">
        <f>'Peajes Circular CNMC'!$I$30</f>
        <v>0.10178</v>
      </c>
      <c r="X12" s="110">
        <f t="shared" si="12"/>
        <v>137.46949750428416</v>
      </c>
      <c r="Y12" s="110">
        <f t="shared" si="13"/>
        <v>7.2612905400000001</v>
      </c>
      <c r="Z12" s="109">
        <f t="shared" si="14"/>
        <v>144.73078804428417</v>
      </c>
      <c r="AA12" s="81">
        <f>'Peajes Circular CNMC'!$H$35</f>
        <v>0.14737</v>
      </c>
      <c r="AB12" s="109">
        <f t="shared" si="15"/>
        <v>10.51381791</v>
      </c>
      <c r="AC12" s="90">
        <f>'Peajes Circular CNMC'!$J$6</f>
        <v>13.922499999999999</v>
      </c>
      <c r="AD12" s="90">
        <f>'Peajes Circular CNMC'!$J$7</f>
        <v>2.5181930000000002E-2</v>
      </c>
      <c r="AE12" s="110">
        <f t="shared" si="16"/>
        <v>75.876906081644321</v>
      </c>
      <c r="AF12" s="110">
        <f t="shared" si="17"/>
        <v>1.7965544319900002</v>
      </c>
      <c r="AG12" s="109">
        <f t="shared" si="18"/>
        <v>77.673460513634325</v>
      </c>
      <c r="AH12" s="90">
        <f>'Peajes Circular CNMC'!$K$6</f>
        <v>8.5966666666666658</v>
      </c>
      <c r="AI12" s="90">
        <f>'Peajes Circular CNMC'!$K$7</f>
        <v>2.5181930000000002E-2</v>
      </c>
      <c r="AJ12" s="110">
        <f t="shared" si="19"/>
        <v>46.85138942588393</v>
      </c>
      <c r="AK12" s="110">
        <f t="shared" si="20"/>
        <v>1.7965544319900002</v>
      </c>
      <c r="AL12" s="109">
        <f t="shared" si="21"/>
        <v>48.647943857873933</v>
      </c>
      <c r="AM12" s="91">
        <f>VLOOKUP(U12,'Peajes Circular CNMC'!$B$13:$J$23,7,FALSE)</f>
        <v>0</v>
      </c>
      <c r="AN12" s="80">
        <f>VLOOKUP(U12,'Peajes Circular CNMC'!$B$13:$J$23,8,FALSE)</f>
        <v>37.785400000000003</v>
      </c>
      <c r="AO12" s="80">
        <f>VLOOKUP(U12,'Peajes Circular CNMC'!$B$13:$J$23,9,FALSE)</f>
        <v>11.996</v>
      </c>
      <c r="AP12" s="110">
        <f t="shared" si="22"/>
        <v>0</v>
      </c>
      <c r="AQ12" s="110">
        <f t="shared" si="23"/>
        <v>453.4248</v>
      </c>
      <c r="AR12" s="110">
        <f t="shared" si="24"/>
        <v>855.83062800000005</v>
      </c>
      <c r="AS12" s="109">
        <f t="shared" si="25"/>
        <v>1309.2554279999999</v>
      </c>
      <c r="AT12" s="111">
        <f>Z12+AB12+AG12+AL12+AS12</f>
        <v>1590.8214383257923</v>
      </c>
      <c r="AU12" s="74">
        <f t="shared" si="26"/>
        <v>22.29821339620975</v>
      </c>
      <c r="AW12" s="70">
        <f t="shared" si="27"/>
        <v>0.25677811515373589</v>
      </c>
      <c r="AX12" s="92">
        <f t="shared" si="28"/>
        <v>0.31380403192708373</v>
      </c>
      <c r="AY12" s="92">
        <f t="shared" si="29"/>
        <v>-0.24580831555075014</v>
      </c>
      <c r="AZ12" s="112">
        <f t="shared" si="0"/>
        <v>-383.93490780632396</v>
      </c>
      <c r="BA12" s="92">
        <f t="shared" si="1"/>
        <v>-0.19442140725782367</v>
      </c>
      <c r="BB12" s="179">
        <f t="shared" si="30"/>
        <v>-5.381535789163955</v>
      </c>
    </row>
    <row r="13" spans="2:54">
      <c r="B13" s="97">
        <v>475</v>
      </c>
      <c r="C13" s="99">
        <f>IF($C$5&lt;&gt;"Memoria CNMC",$C$5,IF(B13&gt;'Tipología Clientes'!$C$16,'Tipología Clientes'!$L$16,IF(B13&gt;'Tipología Clientes'!$C$15,'Tipología Clientes'!$L$15,IF(B13&gt;'Tipología Clientes'!$C$14,'Tipología Clientes'!$L$14,IF(B13&gt;'Tipología Clientes'!$C$13,'Tipología Clientes'!$L$13,IF(B13&gt;'Tipología Clientes'!$C$12,'Tipología Clientes'!$L$12,IF(B13&gt;'Tipología Clientes'!$C$11,'Tipología Clientes'!$L$11,IF(B13&gt;'Tipología Clientes'!$C$10,'Tipología Clientes'!$L$10,IF(B13&gt;'Tipología Clientes'!$C$9,'Tipología Clientes'!$L$9,IF(B13&gt;'Tipología Clientes'!$C$8,'Tipología Clientes'!$L$8,IF(B13&gt;'Tipología Clientes'!$C$7,'Tipología Clientes'!$L$7,'Tipología Clientes'!$L$6)))))))))))</f>
        <v>0.41959262584789264</v>
      </c>
      <c r="D13" s="100">
        <f t="shared" si="2"/>
        <v>3.1015079456745767</v>
      </c>
      <c r="E13" s="71" t="str">
        <f>IF(B13&gt;'Peajes Actuales'!$C$14,'Peajes Actuales'!$B$14,IF(B13&gt;'Peajes Actuales'!$C$13,'Peajes Actuales'!$B$13,IF(B13&gt;'Peajes Actuales'!$C$12,'Peajes Actuales'!$B$12,'Peajes Actuales'!$B$11)))</f>
        <v>3.4</v>
      </c>
      <c r="F13" s="81">
        <f>'Peajes Actuales'!$H$29</f>
        <v>19.612000000000002</v>
      </c>
      <c r="G13" s="81">
        <f>'Peajes Actuales'!$I$29</f>
        <v>0.11599999999999999</v>
      </c>
      <c r="H13" s="110">
        <f t="shared" si="3"/>
        <v>729.92128596683767</v>
      </c>
      <c r="I13" s="110">
        <f t="shared" si="4"/>
        <v>55.099999999999994</v>
      </c>
      <c r="J13" s="109">
        <f t="shared" si="5"/>
        <v>785.0212859668377</v>
      </c>
      <c r="K13" s="82">
        <f>'Peajes Actuales'!$I$5</f>
        <v>10.848000000000001</v>
      </c>
      <c r="L13" s="109">
        <f t="shared" si="6"/>
        <v>403.74189833613372</v>
      </c>
      <c r="M13" s="80">
        <f>VLOOKUP(E13,'Peajes Actuales'!$B$11:$J$14,8,FALSE)</f>
        <v>80.97</v>
      </c>
      <c r="N13" s="83">
        <f>VLOOKUP(E13,'Peajes Actuales'!$B$11:$J$14,9,FALSE)</f>
        <v>13.012</v>
      </c>
      <c r="O13" s="110">
        <f t="shared" si="7"/>
        <v>971.64</v>
      </c>
      <c r="P13" s="110">
        <f t="shared" si="8"/>
        <v>6180.7</v>
      </c>
      <c r="Q13" s="109">
        <f t="shared" si="9"/>
        <v>7152.34</v>
      </c>
      <c r="R13" s="111">
        <f t="shared" si="10"/>
        <v>8341.1031843029723</v>
      </c>
      <c r="S13" s="74">
        <f t="shared" si="11"/>
        <v>17.560217230111519</v>
      </c>
      <c r="U13" s="71" t="str">
        <f>IF(B13&gt;'Peajes Circular CNMC'!$C$23,'Peajes Circular CNMC'!$B$23,IF(B13&gt;'Peajes Circular CNMC'!$C$22,'Peajes Circular CNMC'!$B$22,IF(B13&gt;'Peajes Circular CNMC'!$C$21,'Peajes Circular CNMC'!$B$21,IF(B13&gt;'Peajes Circular CNMC'!$C$20,'Peajes Circular CNMC'!$B$20,IF(B13&gt;'Peajes Circular CNMC'!$C$19,'Peajes Circular CNMC'!$B$19,IF(B13&gt;'Peajes Circular CNMC'!$C$18,'Peajes Circular CNMC'!$B$18,IF(B13&gt;'Peajes Circular CNMC'!$C$17,'Peajes Circular CNMC'!$B$17,IF(B13&gt;'Peajes Circular CNMC'!$C$16,'Peajes Circular CNMC'!$B$16,IF(B13&gt;'Peajes Circular CNMC'!$C$15,'Peajes Circular CNMC'!$B$15,IF(B13&gt;'Peajes Circular CNMC'!$C$14,'Peajes Circular CNMC'!$B$14,'Peajes Circular CNMC'!$B$13))))))))))</f>
        <v>D.5</v>
      </c>
      <c r="V13" s="89">
        <f>'Peajes Circular CNMC'!$H$30</f>
        <v>25.224</v>
      </c>
      <c r="W13" s="81">
        <f>'Peajes Circular CNMC'!$I$30</f>
        <v>0.10178</v>
      </c>
      <c r="X13" s="110">
        <f t="shared" si="12"/>
        <v>938.78923706034618</v>
      </c>
      <c r="Y13" s="110">
        <f t="shared" si="13"/>
        <v>48.345500000000001</v>
      </c>
      <c r="Z13" s="109">
        <f t="shared" si="14"/>
        <v>987.1347370603462</v>
      </c>
      <c r="AA13" s="81">
        <f>'Peajes Circular CNMC'!$H$35</f>
        <v>0.14737</v>
      </c>
      <c r="AB13" s="109">
        <f t="shared" si="15"/>
        <v>70.000749999999996</v>
      </c>
      <c r="AC13" s="90">
        <f>'Peajes Circular CNMC'!$J$6</f>
        <v>13.922499999999999</v>
      </c>
      <c r="AD13" s="90">
        <f>'Peajes Circular CNMC'!$J$7</f>
        <v>2.5181930000000002E-2</v>
      </c>
      <c r="AE13" s="110">
        <f t="shared" si="16"/>
        <v>518.16893248385145</v>
      </c>
      <c r="AF13" s="110">
        <f t="shared" si="17"/>
        <v>11.961416750000001</v>
      </c>
      <c r="AG13" s="109">
        <f t="shared" si="18"/>
        <v>530.13034923385146</v>
      </c>
      <c r="AH13" s="90">
        <f>'Peajes Circular CNMC'!$K$6</f>
        <v>8.5966666666666658</v>
      </c>
      <c r="AI13" s="90">
        <f>'Peajes Circular CNMC'!$K$7</f>
        <v>2.5181930000000002E-2</v>
      </c>
      <c r="AJ13" s="110">
        <f t="shared" si="19"/>
        <v>319.95155967578933</v>
      </c>
      <c r="AK13" s="110">
        <f t="shared" si="20"/>
        <v>11.961416750000001</v>
      </c>
      <c r="AL13" s="109">
        <f t="shared" si="21"/>
        <v>331.91297642578934</v>
      </c>
      <c r="AM13" s="91">
        <f>VLOOKUP(U13,'Peajes Circular CNMC'!$B$13:$J$23,7,FALSE)</f>
        <v>0</v>
      </c>
      <c r="AN13" s="80">
        <f>VLOOKUP(U13,'Peajes Circular CNMC'!$B$13:$J$23,8,FALSE)</f>
        <v>184.27269999999999</v>
      </c>
      <c r="AO13" s="80">
        <f>VLOOKUP(U13,'Peajes Circular CNMC'!$B$13:$J$23,9,FALSE)</f>
        <v>12.071</v>
      </c>
      <c r="AP13" s="110">
        <f t="shared" si="22"/>
        <v>0</v>
      </c>
      <c r="AQ13" s="110">
        <f t="shared" si="23"/>
        <v>2211.2723999999998</v>
      </c>
      <c r="AR13" s="110">
        <f t="shared" si="24"/>
        <v>5733.7249999999995</v>
      </c>
      <c r="AS13" s="109">
        <f t="shared" si="25"/>
        <v>7944.9973999999993</v>
      </c>
      <c r="AT13" s="111">
        <f>Z13+AB13+AG13+AL13+AS13</f>
        <v>9864.1762127199854</v>
      </c>
      <c r="AU13" s="74">
        <f t="shared" si="26"/>
        <v>20.766686763621021</v>
      </c>
      <c r="AW13" s="70">
        <f t="shared" si="27"/>
        <v>0.25746238313090347</v>
      </c>
      <c r="AX13" s="92">
        <f t="shared" si="28"/>
        <v>0.3130426924195357</v>
      </c>
      <c r="AY13" s="92">
        <f t="shared" si="29"/>
        <v>0.15723111267442386</v>
      </c>
      <c r="AZ13" s="112">
        <f t="shared" si="0"/>
        <v>1523.0730284170131</v>
      </c>
      <c r="BA13" s="92">
        <f t="shared" si="1"/>
        <v>0.18259851182314432</v>
      </c>
      <c r="BB13" s="179">
        <f t="shared" si="30"/>
        <v>3.2064695335095017</v>
      </c>
    </row>
  </sheetData>
  <mergeCells count="16">
    <mergeCell ref="R8:S8"/>
    <mergeCell ref="AT8:AU8"/>
    <mergeCell ref="AZ8:BA8"/>
    <mergeCell ref="C5:D5"/>
    <mergeCell ref="F6:S6"/>
    <mergeCell ref="V6:AU6"/>
    <mergeCell ref="F7:J7"/>
    <mergeCell ref="K7:L7"/>
    <mergeCell ref="M7:Q7"/>
    <mergeCell ref="R7:S7"/>
    <mergeCell ref="V7:Z7"/>
    <mergeCell ref="AC7:AG7"/>
    <mergeCell ref="AH7:AL7"/>
    <mergeCell ref="AM7:AS7"/>
    <mergeCell ref="AT7:AU7"/>
    <mergeCell ref="AA7:AB7"/>
  </mergeCells>
  <conditionalFormatting sqref="AZ10:AZ13">
    <cfRule type="cellIs" dxfId="33" priority="8" operator="greaterThan">
      <formula>0</formula>
    </cfRule>
  </conditionalFormatting>
  <conditionalFormatting sqref="BA10:BA13">
    <cfRule type="cellIs" dxfId="32" priority="7" operator="greaterThan">
      <formula>0</formula>
    </cfRule>
  </conditionalFormatting>
  <conditionalFormatting sqref="AZ10:AZ13">
    <cfRule type="cellIs" dxfId="31" priority="6" operator="lessThan">
      <formula>0</formula>
    </cfRule>
  </conditionalFormatting>
  <conditionalFormatting sqref="BA10:BA13">
    <cfRule type="cellIs" dxfId="30" priority="5" operator="lessThan">
      <formula>0</formula>
    </cfRule>
  </conditionalFormatting>
  <conditionalFormatting sqref="AW10:AY13">
    <cfRule type="cellIs" dxfId="29" priority="4" operator="greaterThan">
      <formula>0</formula>
    </cfRule>
  </conditionalFormatting>
  <conditionalFormatting sqref="AW10:AY13">
    <cfRule type="cellIs" dxfId="28" priority="3" operator="lessThan">
      <formula>0</formula>
    </cfRule>
  </conditionalFormatting>
  <conditionalFormatting sqref="BB10:BB13">
    <cfRule type="cellIs" dxfId="27" priority="2" operator="greaterThan">
      <formula>0</formula>
    </cfRule>
  </conditionalFormatting>
  <conditionalFormatting sqref="BB10:BB13">
    <cfRule type="cellIs" dxfId="26" priority="1" operator="lessThan">
      <formula>0</formula>
    </cfRule>
  </conditionalFormatting>
  <dataValidations count="1">
    <dataValidation type="list" allowBlank="1" showInputMessage="1" showErrorMessage="1" sqref="C5">
      <mc:AlternateContent xmlns:x12ac="http://schemas.microsoft.com/office/spreadsheetml/2011/1/ac" xmlns:mc="http://schemas.openxmlformats.org/markup-compatibility/2006">
        <mc:Choice Requires="x12ac">
          <x12ac:list>Memoria CNMC,"0,80","0,85","0,90"</x12ac:list>
        </mc:Choice>
        <mc:Fallback>
          <formula1>"Memoria CNMC,0,80,0,85,0,90"</formula1>
        </mc:Fallback>
      </mc:AlternateContent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Header>&amp;LANEXO II: CÁLCULO DEL EFECTO DE LA EVOLUCIÓN DE LOS PEAJES EN EL PERIODO 2020-2026&amp;R&amp;A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P13"/>
  <sheetViews>
    <sheetView showGridLines="0" zoomScale="80" zoomScaleNormal="80" workbookViewId="0">
      <selection activeCell="AV16" sqref="AV16"/>
    </sheetView>
  </sheetViews>
  <sheetFormatPr baseColWidth="10" defaultColWidth="11" defaultRowHeight="16.5" outlineLevelCol="1"/>
  <cols>
    <col min="1" max="1" width="2.140625" style="62" customWidth="1"/>
    <col min="2" max="2" width="10.140625" style="61" customWidth="1"/>
    <col min="3" max="3" width="6.7109375" style="62" customWidth="1"/>
    <col min="4" max="4" width="10.42578125" style="62" customWidth="1"/>
    <col min="5" max="5" width="8.42578125" style="62" customWidth="1"/>
    <col min="6" max="6" width="13.42578125" style="69" hidden="1" customWidth="1" outlineLevel="1"/>
    <col min="7" max="7" width="10" style="69" hidden="1" customWidth="1" outlineLevel="1"/>
    <col min="8" max="8" width="11.5703125" style="73" hidden="1" customWidth="1" outlineLevel="1"/>
    <col min="9" max="9" width="10.5703125" style="73" hidden="1" customWidth="1" outlineLevel="1"/>
    <col min="10" max="10" width="21.42578125" style="73" customWidth="1" collapsed="1"/>
    <col min="11" max="11" width="13.42578125" style="62" hidden="1" customWidth="1" outlineLevel="1"/>
    <col min="12" max="12" width="10" style="62" hidden="1" customWidth="1" outlineLevel="1"/>
    <col min="13" max="13" width="11" style="62" hidden="1" customWidth="1" outlineLevel="1"/>
    <col min="14" max="14" width="12.5703125" style="62" hidden="1" customWidth="1" outlineLevel="1"/>
    <col min="15" max="15" width="12.85546875" style="62" hidden="1" customWidth="1" outlineLevel="1"/>
    <col min="16" max="16" width="13.28515625" style="62" customWidth="1" collapsed="1"/>
    <col min="17" max="17" width="12.5703125" style="62" bestFit="1" customWidth="1"/>
    <col min="18" max="18" width="8" style="62" customWidth="1"/>
    <col min="19" max="19" width="3.42578125" style="62" customWidth="1"/>
    <col min="20" max="20" width="8" style="62" customWidth="1"/>
    <col min="21" max="21" width="13.42578125" style="62" hidden="1" customWidth="1" outlineLevel="1"/>
    <col min="22" max="23" width="11.5703125" style="62" hidden="1" customWidth="1" outlineLevel="1"/>
    <col min="24" max="24" width="12.28515625" style="62" hidden="1" customWidth="1" outlineLevel="1"/>
    <col min="25" max="25" width="15.7109375" style="62" customWidth="1" collapsed="1"/>
    <col min="26" max="26" width="9" style="62" hidden="1" customWidth="1" outlineLevel="1"/>
    <col min="27" max="27" width="9" style="62" bestFit="1" customWidth="1" collapsed="1"/>
    <col min="28" max="28" width="13.42578125" style="62" hidden="1" customWidth="1" outlineLevel="1"/>
    <col min="29" max="29" width="9.7109375" style="62" hidden="1" customWidth="1" outlineLevel="1"/>
    <col min="30" max="32" width="11.5703125" style="62" hidden="1" customWidth="1" outlineLevel="1"/>
    <col min="33" max="33" width="14.42578125" style="62" hidden="1" customWidth="1" outlineLevel="1"/>
    <col min="34" max="34" width="11.5703125" style="62" bestFit="1" customWidth="1" collapsed="1"/>
    <col min="35" max="35" width="11.5703125" style="62" bestFit="1" customWidth="1"/>
    <col min="36" max="36" width="6.85546875" style="62" bestFit="1" customWidth="1"/>
    <col min="37" max="37" width="2" style="69" customWidth="1"/>
    <col min="38" max="38" width="15" style="69" hidden="1" customWidth="1" outlineLevel="1"/>
    <col min="39" max="39" width="11.85546875" style="62" hidden="1" customWidth="1" outlineLevel="1"/>
    <col min="40" max="40" width="10.140625" style="62" bestFit="1" customWidth="1" collapsed="1"/>
    <col min="41" max="41" width="6.42578125" style="62" customWidth="1"/>
    <col min="42" max="42" width="8.42578125" style="62" bestFit="1" customWidth="1"/>
    <col min="43" max="16384" width="11" style="62"/>
  </cols>
  <sheetData>
    <row r="2" spans="2:42" ht="18">
      <c r="B2" s="188" t="s">
        <v>191</v>
      </c>
    </row>
    <row r="3" spans="2:42" ht="20.25">
      <c r="B3" s="189" t="s">
        <v>194</v>
      </c>
    </row>
    <row r="5" spans="2:42">
      <c r="B5" s="115" t="s">
        <v>38</v>
      </c>
      <c r="C5" s="262" t="s">
        <v>105</v>
      </c>
      <c r="D5" s="263"/>
    </row>
    <row r="6" spans="2:42">
      <c r="B6" s="62"/>
      <c r="F6" s="264" t="s">
        <v>100</v>
      </c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6"/>
      <c r="U6" s="267" t="s">
        <v>101</v>
      </c>
      <c r="V6" s="268"/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9"/>
    </row>
    <row r="7" spans="2:42">
      <c r="F7" s="278" t="s">
        <v>107</v>
      </c>
      <c r="G7" s="279"/>
      <c r="H7" s="279"/>
      <c r="I7" s="279"/>
      <c r="J7" s="280"/>
      <c r="K7" s="270" t="s">
        <v>96</v>
      </c>
      <c r="L7" s="271"/>
      <c r="M7" s="271"/>
      <c r="N7" s="271"/>
      <c r="O7" s="271"/>
      <c r="P7" s="272"/>
      <c r="Q7" s="270" t="s">
        <v>99</v>
      </c>
      <c r="R7" s="272"/>
      <c r="U7" s="273" t="s">
        <v>107</v>
      </c>
      <c r="V7" s="274"/>
      <c r="W7" s="274"/>
      <c r="X7" s="274"/>
      <c r="Y7" s="275"/>
      <c r="Z7" s="273" t="s">
        <v>132</v>
      </c>
      <c r="AA7" s="275"/>
      <c r="AB7" s="273" t="s">
        <v>104</v>
      </c>
      <c r="AC7" s="274"/>
      <c r="AD7" s="274"/>
      <c r="AE7" s="274"/>
      <c r="AF7" s="274"/>
      <c r="AG7" s="274"/>
      <c r="AH7" s="275"/>
      <c r="AI7" s="273" t="s">
        <v>99</v>
      </c>
      <c r="AJ7" s="275"/>
    </row>
    <row r="8" spans="2:42">
      <c r="B8" s="63" t="s">
        <v>86</v>
      </c>
      <c r="C8" s="135" t="s">
        <v>38</v>
      </c>
      <c r="D8" s="134" t="s">
        <v>88</v>
      </c>
      <c r="E8" s="276" t="s">
        <v>89</v>
      </c>
      <c r="F8" s="129" t="s">
        <v>54</v>
      </c>
      <c r="G8" s="75" t="s">
        <v>91</v>
      </c>
      <c r="H8" s="78" t="s">
        <v>54</v>
      </c>
      <c r="I8" s="78" t="s">
        <v>91</v>
      </c>
      <c r="J8" s="79" t="s">
        <v>92</v>
      </c>
      <c r="K8" s="129" t="s">
        <v>78</v>
      </c>
      <c r="L8" s="129" t="s">
        <v>50</v>
      </c>
      <c r="M8" s="75" t="s">
        <v>91</v>
      </c>
      <c r="N8" s="75" t="s">
        <v>50</v>
      </c>
      <c r="O8" s="75" t="s">
        <v>91</v>
      </c>
      <c r="P8" s="130" t="s">
        <v>92</v>
      </c>
      <c r="Q8" s="257" t="s">
        <v>98</v>
      </c>
      <c r="R8" s="258"/>
      <c r="U8" s="132" t="s">
        <v>54</v>
      </c>
      <c r="V8" s="84" t="s">
        <v>91</v>
      </c>
      <c r="W8" s="85" t="s">
        <v>54</v>
      </c>
      <c r="X8" s="85" t="s">
        <v>91</v>
      </c>
      <c r="Y8" s="86" t="s">
        <v>92</v>
      </c>
      <c r="Z8" s="181"/>
      <c r="AA8" s="180" t="s">
        <v>92</v>
      </c>
      <c r="AB8" s="132" t="s">
        <v>90</v>
      </c>
      <c r="AC8" s="84" t="s">
        <v>50</v>
      </c>
      <c r="AD8" s="84" t="s">
        <v>91</v>
      </c>
      <c r="AE8" s="84" t="s">
        <v>90</v>
      </c>
      <c r="AF8" s="84" t="s">
        <v>50</v>
      </c>
      <c r="AG8" s="84" t="s">
        <v>91</v>
      </c>
      <c r="AH8" s="133" t="s">
        <v>92</v>
      </c>
      <c r="AI8" s="259" t="s">
        <v>98</v>
      </c>
      <c r="AJ8" s="260"/>
      <c r="AK8" s="62"/>
      <c r="AL8" s="131" t="s">
        <v>107</v>
      </c>
      <c r="AM8" s="131" t="s">
        <v>96</v>
      </c>
      <c r="AN8" s="261" t="s">
        <v>92</v>
      </c>
      <c r="AO8" s="261"/>
    </row>
    <row r="9" spans="2:42" s="69" customFormat="1">
      <c r="B9" s="66" t="s">
        <v>87</v>
      </c>
      <c r="C9" s="67" t="s">
        <v>53</v>
      </c>
      <c r="D9" s="68" t="s">
        <v>37</v>
      </c>
      <c r="E9" s="277"/>
      <c r="F9" s="68" t="s">
        <v>58</v>
      </c>
      <c r="G9" s="68" t="s">
        <v>12</v>
      </c>
      <c r="H9" s="72" t="s">
        <v>93</v>
      </c>
      <c r="I9" s="72" t="s">
        <v>93</v>
      </c>
      <c r="J9" s="72" t="s">
        <v>93</v>
      </c>
      <c r="K9" s="68" t="s">
        <v>79</v>
      </c>
      <c r="L9" s="68" t="s">
        <v>97</v>
      </c>
      <c r="M9" s="68" t="s">
        <v>12</v>
      </c>
      <c r="N9" s="68" t="s">
        <v>93</v>
      </c>
      <c r="O9" s="68" t="s">
        <v>93</v>
      </c>
      <c r="P9" s="68" t="s">
        <v>93</v>
      </c>
      <c r="Q9" s="68" t="s">
        <v>93</v>
      </c>
      <c r="R9" s="68" t="s">
        <v>12</v>
      </c>
      <c r="T9" s="124" t="s">
        <v>89</v>
      </c>
      <c r="U9" s="68" t="s">
        <v>58</v>
      </c>
      <c r="V9" s="68" t="s">
        <v>113</v>
      </c>
      <c r="W9" s="72" t="s">
        <v>93</v>
      </c>
      <c r="X9" s="72" t="s">
        <v>93</v>
      </c>
      <c r="Y9" s="72" t="s">
        <v>93</v>
      </c>
      <c r="Z9" s="68" t="s">
        <v>12</v>
      </c>
      <c r="AA9" s="72" t="s">
        <v>93</v>
      </c>
      <c r="AB9" s="68" t="s">
        <v>58</v>
      </c>
      <c r="AC9" s="68" t="s">
        <v>97</v>
      </c>
      <c r="AD9" s="68" t="s">
        <v>12</v>
      </c>
      <c r="AE9" s="68" t="s">
        <v>93</v>
      </c>
      <c r="AF9" s="68" t="s">
        <v>93</v>
      </c>
      <c r="AG9" s="68" t="s">
        <v>93</v>
      </c>
      <c r="AH9" s="68" t="s">
        <v>93</v>
      </c>
      <c r="AI9" s="68" t="s">
        <v>93</v>
      </c>
      <c r="AJ9" s="68" t="s">
        <v>12</v>
      </c>
      <c r="AL9" s="93" t="s">
        <v>102</v>
      </c>
      <c r="AM9" s="93" t="s">
        <v>102</v>
      </c>
      <c r="AN9" s="95" t="s">
        <v>103</v>
      </c>
      <c r="AO9" s="96" t="s">
        <v>53</v>
      </c>
      <c r="AP9" s="178" t="s">
        <v>129</v>
      </c>
    </row>
    <row r="10" spans="2:42">
      <c r="B10" s="98">
        <v>2.74</v>
      </c>
      <c r="C10" s="99">
        <f>IF($C$5&lt;&gt;"Memoria CNMC",$C$5,IF(B10&gt;'Tipología Clientes'!$C$16,'Tipología Clientes'!$L$16,IF(B10&gt;'Tipología Clientes'!$C$15,'Tipología Clientes'!$L$15,IF(B10&gt;'Tipología Clientes'!$C$14,'Tipología Clientes'!$L$14,IF(B10&gt;'Tipología Clientes'!$C$13,'Tipología Clientes'!$L$13,IF(B10&gt;'Tipología Clientes'!$C$12,'Tipología Clientes'!$L$12,IF(B10&gt;'Tipología Clientes'!$C$11,'Tipología Clientes'!$L$11,IF(B10&gt;'Tipología Clientes'!$C$10,'Tipología Clientes'!$L$10,IF(B10&gt;'Tipología Clientes'!$C$9,'Tipología Clientes'!$L$9,IF(B10&gt;'Tipología Clientes'!$C$8,'Tipología Clientes'!$L$8,IF(B10&gt;'Tipología Clientes'!$C$7,'Tipología Clientes'!$L$7,'Tipología Clientes'!$L$6)))))))))))</f>
        <v>0.41011804141973951</v>
      </c>
      <c r="D10" s="100">
        <f>B10/365/C10</f>
        <v>1.8304118709533999E-2</v>
      </c>
      <c r="E10" s="71" t="str">
        <f>IF(B10&gt;'Peajes Actuales'!$C$14,'Peajes Actuales'!$B$14,IF(B10&gt;'Peajes Actuales'!$C$13,'Peajes Actuales'!$B$13,IF(B10&gt;'Peajes Actuales'!$C$12,'Peajes Actuales'!$B$12,'Peajes Actuales'!$B$11)))</f>
        <v>3.1</v>
      </c>
      <c r="F10" s="81">
        <f>'Peajes Actuales'!$H$36</f>
        <v>28.805999999999997</v>
      </c>
      <c r="G10" s="81">
        <f>'Peajes Actuales'!$I$36</f>
        <v>0.17100000000000001</v>
      </c>
      <c r="H10" s="110">
        <f>D10*F10*12</f>
        <v>6.3272213225620355</v>
      </c>
      <c r="I10" s="110">
        <f>B10*G10</f>
        <v>0.46854000000000007</v>
      </c>
      <c r="J10" s="109">
        <f>H10+I10</f>
        <v>6.7957613225620355</v>
      </c>
      <c r="K10" s="81">
        <f>VLOOKUP(E10,'Peajes Actuales'!$B$11:$L$14,11,FALSE)</f>
        <v>0.61199999999999999</v>
      </c>
      <c r="L10" s="80">
        <f>VLOOKUP(E10,'Peajes Actuales'!$B$11:$J$14,8,FALSE)*K10</f>
        <v>1.54836</v>
      </c>
      <c r="M10" s="83">
        <f>VLOOKUP(E10,'Peajes Actuales'!$B$11:$J$14,9,FALSE)*K10</f>
        <v>17.923643999999999</v>
      </c>
      <c r="N10" s="110">
        <f>L10*12</f>
        <v>18.58032</v>
      </c>
      <c r="O10" s="110">
        <f>B10*M10</f>
        <v>49.110784559999999</v>
      </c>
      <c r="P10" s="109">
        <f>SUM(N10:O10)</f>
        <v>67.691104559999999</v>
      </c>
      <c r="Q10" s="111">
        <f>J10+P10</f>
        <v>74.486865882562029</v>
      </c>
      <c r="R10" s="74">
        <f>Q10/B10</f>
        <v>27.184987548380299</v>
      </c>
      <c r="T10" s="71" t="str">
        <f>IF(B10&gt;'Peajes Circular CNMC'!$C$23,'Peajes Circular CNMC'!$B$23,IF(B10&gt;'Peajes Circular CNMC'!$C$22,'Peajes Circular CNMC'!$B$22,IF(B10&gt;'Peajes Circular CNMC'!$C$21,'Peajes Circular CNMC'!$B$21,IF(B10&gt;'Peajes Circular CNMC'!$C$20,'Peajes Circular CNMC'!$B$20,IF(B10&gt;'Peajes Circular CNMC'!$C$19,'Peajes Circular CNMC'!$B$19,IF(B10&gt;'Peajes Circular CNMC'!$C$18,'Peajes Circular CNMC'!$B$18,IF(B10&gt;'Peajes Circular CNMC'!$C$17,'Peajes Circular CNMC'!$B$17,IF(B10&gt;'Peajes Circular CNMC'!$C$16,'Peajes Circular CNMC'!$B$16,IF(B10&gt;'Peajes Circular CNMC'!$C$15,'Peajes Circular CNMC'!$B$15,IF(B10&gt;'Peajes Circular CNMC'!$C$14,'Peajes Circular CNMC'!$B$14,'Peajes Circular CNMC'!$B$13))))))))))</f>
        <v>D.1</v>
      </c>
      <c r="U10" s="89">
        <f>'Peajes Circular CNMC'!$H$42</f>
        <v>21.719000000000001</v>
      </c>
      <c r="V10" s="81">
        <f>'Peajes Circular CNMC'!$I$42</f>
        <v>8.6959999999999996E-2</v>
      </c>
      <c r="W10" s="110">
        <f>12*U10*D10</f>
        <v>4.7705658510284277</v>
      </c>
      <c r="X10" s="110">
        <f>V10*B10</f>
        <v>0.23827039999999999</v>
      </c>
      <c r="Y10" s="109">
        <f>W10+X10</f>
        <v>5.0088362510284279</v>
      </c>
      <c r="Z10" s="81">
        <f>'Peajes Circular CNMC'!$H$35</f>
        <v>0.14737</v>
      </c>
      <c r="AA10" s="109">
        <f>B10*Z10</f>
        <v>0.40379380000000004</v>
      </c>
      <c r="AB10" s="91">
        <f>VLOOKUP(T10,'Peajes Circular CNMC'!$B$13:$J$23,7,FALSE)</f>
        <v>0</v>
      </c>
      <c r="AC10" s="80">
        <f>VLOOKUP(T10,'Peajes Circular CNMC'!$B$13:$J$23,8,FALSE)</f>
        <v>0.4224</v>
      </c>
      <c r="AD10" s="80">
        <f>VLOOKUP(T10,'Peajes Circular CNMC'!$B$13:$J$23,9,FALSE)</f>
        <v>13.1122</v>
      </c>
      <c r="AE10" s="110">
        <f>12*AB10*D10</f>
        <v>0</v>
      </c>
      <c r="AF10" s="110">
        <f>12*AC10</f>
        <v>5.0687999999999995</v>
      </c>
      <c r="AG10" s="110">
        <f>AD10*B10</f>
        <v>35.927427999999999</v>
      </c>
      <c r="AH10" s="109">
        <f>AE10+AF10+AG10</f>
        <v>40.996228000000002</v>
      </c>
      <c r="AI10" s="111">
        <f>Y10+AA10+AH10</f>
        <v>46.408858051028432</v>
      </c>
      <c r="AJ10" s="74">
        <f>AI10/B10</f>
        <v>16.937539434681909</v>
      </c>
      <c r="AK10" s="62"/>
      <c r="AL10" s="70">
        <f>(Y10-J10)/J10</f>
        <v>-0.26294700280320144</v>
      </c>
      <c r="AM10" s="92">
        <f>(AH10-P10)/P10</f>
        <v>-0.39436314023119845</v>
      </c>
      <c r="AN10" s="112">
        <f>AI10-Q10</f>
        <v>-28.078007831533597</v>
      </c>
      <c r="AO10" s="92">
        <f>AN10/Q10</f>
        <v>-0.37695246670469568</v>
      </c>
      <c r="AP10" s="179">
        <f>AJ10-R10</f>
        <v>-10.24744811369839</v>
      </c>
    </row>
    <row r="11" spans="2:42">
      <c r="B11" s="98">
        <v>9.8190000000000008</v>
      </c>
      <c r="C11" s="99">
        <f>IF($C$5&lt;&gt;"Memoria CNMC",$C$5,IF(B11&gt;'Tipología Clientes'!$C$16,'Tipología Clientes'!$L$16,IF(B11&gt;'Tipología Clientes'!$C$15,'Tipología Clientes'!$L$15,IF(B11&gt;'Tipología Clientes'!$C$14,'Tipología Clientes'!$L$14,IF(B11&gt;'Tipología Clientes'!$C$13,'Tipología Clientes'!$L$13,IF(B11&gt;'Tipología Clientes'!$C$12,'Tipología Clientes'!$L$12,IF(B11&gt;'Tipología Clientes'!$C$11,'Tipología Clientes'!$L$11,IF(B11&gt;'Tipología Clientes'!$C$10,'Tipología Clientes'!$L$10,IF(B11&gt;'Tipología Clientes'!$C$9,'Tipología Clientes'!$L$9,IF(B11&gt;'Tipología Clientes'!$C$8,'Tipología Clientes'!$L$8,IF(B11&gt;'Tipología Clientes'!$C$7,'Tipología Clientes'!$L$7,'Tipología Clientes'!$L$6)))))))))))</f>
        <v>0.37354729180664842</v>
      </c>
      <c r="D11" s="100">
        <f t="shared" ref="D11:D13" si="0">B11/365/C11</f>
        <v>7.2015968133261429E-2</v>
      </c>
      <c r="E11" s="71" t="str">
        <f>IF(B11&gt;'Peajes Actuales'!$C$14,'Peajes Actuales'!$B$14,IF(B11&gt;'Peajes Actuales'!$C$13,'Peajes Actuales'!$B$13,IF(B11&gt;'Peajes Actuales'!$C$12,'Peajes Actuales'!$B$12,'Peajes Actuales'!$B$11)))</f>
        <v>3.2</v>
      </c>
      <c r="F11" s="81">
        <f>'Peajes Actuales'!$H$36</f>
        <v>28.805999999999997</v>
      </c>
      <c r="G11" s="81">
        <f>'Peajes Actuales'!$I$36</f>
        <v>0.17100000000000001</v>
      </c>
      <c r="H11" s="110">
        <f t="shared" ref="H11:H13" si="1">D11*F11*12</f>
        <v>24.893903736560745</v>
      </c>
      <c r="I11" s="110">
        <f t="shared" ref="I11:I13" si="2">B11*G11</f>
        <v>1.6790490000000002</v>
      </c>
      <c r="J11" s="109">
        <f t="shared" ref="J11:J13" si="3">H11+I11</f>
        <v>26.572952736560744</v>
      </c>
      <c r="K11" s="81">
        <f>VLOOKUP(E11,'Peajes Actuales'!$B$11:$L$14,11,FALSE)</f>
        <v>0.61499999999999999</v>
      </c>
      <c r="L11" s="80">
        <f>VLOOKUP(E11,'Peajes Actuales'!$B$11:$J$14,8,FALSE)*K11</f>
        <v>3.5608499999999998</v>
      </c>
      <c r="M11" s="83">
        <f>VLOOKUP(E11,'Peajes Actuales'!$B$11:$J$14,9,FALSE)*K11</f>
        <v>13.783994999999999</v>
      </c>
      <c r="N11" s="110">
        <f t="shared" ref="N11:N13" si="4">L11*12</f>
        <v>42.730199999999996</v>
      </c>
      <c r="O11" s="110">
        <f>B11*M11</f>
        <v>135.345046905</v>
      </c>
      <c r="P11" s="109">
        <f t="shared" ref="P11:P13" si="5">SUM(N11:O11)</f>
        <v>178.075246905</v>
      </c>
      <c r="Q11" s="111">
        <f t="shared" ref="Q11:Q13" si="6">J11+P11</f>
        <v>204.64819964156075</v>
      </c>
      <c r="R11" s="74">
        <f>Q11/B11</f>
        <v>20.842061273201011</v>
      </c>
      <c r="T11" s="71" t="str">
        <f>IF(B11&gt;'Peajes Circular CNMC'!$C$23,'Peajes Circular CNMC'!$B$23,IF(B11&gt;'Peajes Circular CNMC'!$C$22,'Peajes Circular CNMC'!$B$22,IF(B11&gt;'Peajes Circular CNMC'!$C$21,'Peajes Circular CNMC'!$B$21,IF(B11&gt;'Peajes Circular CNMC'!$C$20,'Peajes Circular CNMC'!$B$20,IF(B11&gt;'Peajes Circular CNMC'!$C$19,'Peajes Circular CNMC'!$B$19,IF(B11&gt;'Peajes Circular CNMC'!$C$18,'Peajes Circular CNMC'!$B$18,IF(B11&gt;'Peajes Circular CNMC'!$C$17,'Peajes Circular CNMC'!$B$17,IF(B11&gt;'Peajes Circular CNMC'!$C$16,'Peajes Circular CNMC'!$B$16,IF(B11&gt;'Peajes Circular CNMC'!$C$15,'Peajes Circular CNMC'!$B$15,IF(B11&gt;'Peajes Circular CNMC'!$C$14,'Peajes Circular CNMC'!$B$14,'Peajes Circular CNMC'!$B$13))))))))))</f>
        <v>D.2</v>
      </c>
      <c r="U11" s="89">
        <f>'Peajes Circular CNMC'!$H$42</f>
        <v>21.719000000000001</v>
      </c>
      <c r="V11" s="81">
        <f>'Peajes Circular CNMC'!$I$42</f>
        <v>8.6959999999999996E-2</v>
      </c>
      <c r="W11" s="110">
        <f>12*U11*D11</f>
        <v>18.769377742635662</v>
      </c>
      <c r="X11" s="110">
        <f>V11*B11</f>
        <v>0.85386024000000005</v>
      </c>
      <c r="Y11" s="109">
        <f t="shared" ref="Y11:Y13" si="7">W11+X11</f>
        <v>19.623237982635661</v>
      </c>
      <c r="Z11" s="81">
        <f>'Peajes Circular CNMC'!$H$35</f>
        <v>0.14737</v>
      </c>
      <c r="AA11" s="109">
        <f t="shared" ref="AA11:AA13" si="8">B11*Z11</f>
        <v>1.4470260300000002</v>
      </c>
      <c r="AB11" s="91">
        <f>VLOOKUP(T11,'Peajes Circular CNMC'!$B$13:$J$23,7,FALSE)</f>
        <v>0</v>
      </c>
      <c r="AC11" s="80">
        <f>VLOOKUP(T11,'Peajes Circular CNMC'!$B$13:$J$23,8,FALSE)</f>
        <v>2.2261000000000002</v>
      </c>
      <c r="AD11" s="80">
        <f>VLOOKUP(T11,'Peajes Circular CNMC'!$B$13:$J$23,9,FALSE)</f>
        <v>14.2348</v>
      </c>
      <c r="AE11" s="110">
        <f>12*AB11*D11</f>
        <v>0</v>
      </c>
      <c r="AF11" s="110">
        <f t="shared" ref="AF11:AF13" si="9">12*AC11</f>
        <v>26.713200000000001</v>
      </c>
      <c r="AG11" s="110">
        <f>AD11*B11</f>
        <v>139.77150120000002</v>
      </c>
      <c r="AH11" s="109">
        <f t="shared" ref="AH11:AH13" si="10">AE11+AF11+AG11</f>
        <v>166.48470120000002</v>
      </c>
      <c r="AI11" s="111">
        <f>Y11+AA11+AH11</f>
        <v>187.55496521263569</v>
      </c>
      <c r="AJ11" s="74">
        <f>AI11/B11</f>
        <v>19.101228761853108</v>
      </c>
      <c r="AK11" s="62"/>
      <c r="AL11" s="70">
        <f>(Y11-J11)/J11</f>
        <v>-0.26153340288613192</v>
      </c>
      <c r="AM11" s="92">
        <f>(AH11-P11)/P11</f>
        <v>-6.5087910343784805E-2</v>
      </c>
      <c r="AN11" s="112">
        <f>AI11-Q11</f>
        <v>-17.093234428925058</v>
      </c>
      <c r="AO11" s="92">
        <f>AN11/Q11</f>
        <v>-8.3524968501377903E-2</v>
      </c>
      <c r="AP11" s="179">
        <f t="shared" ref="AP11:AP13" si="11">AJ11-R11</f>
        <v>-1.7408325113479037</v>
      </c>
    </row>
    <row r="12" spans="2:42">
      <c r="B12" s="98">
        <v>71.343000000000004</v>
      </c>
      <c r="C12" s="99">
        <f>IF($C$5&lt;&gt;"Memoria CNMC",$C$5,IF(B12&gt;'Tipología Clientes'!$C$16,'Tipología Clientes'!$L$16,IF(B12&gt;'Tipología Clientes'!$C$15,'Tipología Clientes'!$L$15,IF(B12&gt;'Tipología Clientes'!$C$14,'Tipología Clientes'!$L$14,IF(B12&gt;'Tipología Clientes'!$C$13,'Tipología Clientes'!$L$13,IF(B12&gt;'Tipología Clientes'!$C$12,'Tipología Clientes'!$L$12,IF(B12&gt;'Tipología Clientes'!$C$11,'Tipología Clientes'!$L$11,IF(B12&gt;'Tipología Clientes'!$C$10,'Tipología Clientes'!$L$10,IF(B12&gt;'Tipología Clientes'!$C$9,'Tipología Clientes'!$L$9,IF(B12&gt;'Tipología Clientes'!$C$8,'Tipología Clientes'!$L$8,IF(B12&gt;'Tipología Clientes'!$C$7,'Tipología Clientes'!$L$7,'Tipología Clientes'!$L$6)))))))))))</f>
        <v>0.43037532312486537</v>
      </c>
      <c r="D12" s="100">
        <f t="shared" si="0"/>
        <v>0.45416236357002648</v>
      </c>
      <c r="E12" s="71" t="str">
        <f>IF(B12&gt;'Peajes Actuales'!$C$14,'Peajes Actuales'!$B$14,IF(B12&gt;'Peajes Actuales'!$C$13,'Peajes Actuales'!$B$13,IF(B12&gt;'Peajes Actuales'!$C$12,'Peajes Actuales'!$B$12,'Peajes Actuales'!$B$11)))</f>
        <v>3.3</v>
      </c>
      <c r="F12" s="81">
        <f>'Peajes Actuales'!$H$36</f>
        <v>28.805999999999997</v>
      </c>
      <c r="G12" s="81">
        <f>'Peajes Actuales'!$I$36</f>
        <v>0.17100000000000001</v>
      </c>
      <c r="H12" s="110">
        <f t="shared" si="1"/>
        <v>156.99121253997816</v>
      </c>
      <c r="I12" s="110">
        <f t="shared" si="2"/>
        <v>12.199653000000001</v>
      </c>
      <c r="J12" s="109">
        <f t="shared" si="3"/>
        <v>169.19086553997818</v>
      </c>
      <c r="K12" s="81">
        <f>VLOOKUP(E12,'Peajes Actuales'!$B$11:$L$14,11,FALSE)</f>
        <v>0.61599999999999999</v>
      </c>
      <c r="L12" s="80">
        <f>VLOOKUP(E12,'Peajes Actuales'!$B$11:$J$14,8,FALSE)*K12</f>
        <v>33.399519999999995</v>
      </c>
      <c r="M12" s="83">
        <f>VLOOKUP(E12,'Peajes Actuales'!$B$11:$J$14,9,FALSE)*K12</f>
        <v>9.9280720000000002</v>
      </c>
      <c r="N12" s="110">
        <f t="shared" si="4"/>
        <v>400.79423999999995</v>
      </c>
      <c r="O12" s="110">
        <f>B12*M12</f>
        <v>708.29844069600006</v>
      </c>
      <c r="P12" s="109">
        <f t="shared" si="5"/>
        <v>1109.0926806960001</v>
      </c>
      <c r="Q12" s="111">
        <f t="shared" si="6"/>
        <v>1278.2835462359783</v>
      </c>
      <c r="R12" s="74">
        <f>Q12/B12</f>
        <v>17.917434734115165</v>
      </c>
      <c r="T12" s="71" t="str">
        <f>IF(B12&gt;'Peajes Circular CNMC'!$C$23,'Peajes Circular CNMC'!$B$23,IF(B12&gt;'Peajes Circular CNMC'!$C$22,'Peajes Circular CNMC'!$B$22,IF(B12&gt;'Peajes Circular CNMC'!$C$21,'Peajes Circular CNMC'!$B$21,IF(B12&gt;'Peajes Circular CNMC'!$C$20,'Peajes Circular CNMC'!$B$20,IF(B12&gt;'Peajes Circular CNMC'!$C$19,'Peajes Circular CNMC'!$B$19,IF(B12&gt;'Peajes Circular CNMC'!$C$18,'Peajes Circular CNMC'!$B$18,IF(B12&gt;'Peajes Circular CNMC'!$C$17,'Peajes Circular CNMC'!$B$17,IF(B12&gt;'Peajes Circular CNMC'!$C$16,'Peajes Circular CNMC'!$B$16,IF(B12&gt;'Peajes Circular CNMC'!$C$15,'Peajes Circular CNMC'!$B$15,IF(B12&gt;'Peajes Circular CNMC'!$C$14,'Peajes Circular CNMC'!$B$14,'Peajes Circular CNMC'!$B$13))))))))))</f>
        <v>D.4</v>
      </c>
      <c r="U12" s="89">
        <f>'Peajes Circular CNMC'!$H$42</f>
        <v>21.719000000000001</v>
      </c>
      <c r="V12" s="81">
        <f>'Peajes Circular CNMC'!$I$42</f>
        <v>8.6959999999999996E-2</v>
      </c>
      <c r="W12" s="110">
        <f>12*U12*D12</f>
        <v>118.36742849252889</v>
      </c>
      <c r="X12" s="110">
        <f>V12*B12</f>
        <v>6.2039872799999998</v>
      </c>
      <c r="Y12" s="109">
        <f t="shared" si="7"/>
        <v>124.57141577252889</v>
      </c>
      <c r="Z12" s="81">
        <f>'Peajes Circular CNMC'!$H$35</f>
        <v>0.14737</v>
      </c>
      <c r="AA12" s="109">
        <f t="shared" si="8"/>
        <v>10.51381791</v>
      </c>
      <c r="AB12" s="91">
        <f>VLOOKUP(T12,'Peajes Circular CNMC'!$B$13:$J$23,7,FALSE)</f>
        <v>0</v>
      </c>
      <c r="AC12" s="80">
        <f>VLOOKUP(T12,'Peajes Circular CNMC'!$B$13:$J$23,8,FALSE)</f>
        <v>37.785400000000003</v>
      </c>
      <c r="AD12" s="80">
        <f>VLOOKUP(T12,'Peajes Circular CNMC'!$B$13:$J$23,9,FALSE)</f>
        <v>11.996</v>
      </c>
      <c r="AE12" s="110">
        <f>12*AB12*D12</f>
        <v>0</v>
      </c>
      <c r="AF12" s="110">
        <f t="shared" si="9"/>
        <v>453.4248</v>
      </c>
      <c r="AG12" s="110">
        <f>AD12*B12</f>
        <v>855.83062800000005</v>
      </c>
      <c r="AH12" s="109">
        <f t="shared" si="10"/>
        <v>1309.2554279999999</v>
      </c>
      <c r="AI12" s="111">
        <f>Y12+AA12+AH12</f>
        <v>1444.3406616825289</v>
      </c>
      <c r="AJ12" s="74">
        <f>AI12/B12</f>
        <v>20.245022800870846</v>
      </c>
      <c r="AK12" s="62"/>
      <c r="AL12" s="70">
        <f>(Y12-J12)/J12</f>
        <v>-0.26372256933047095</v>
      </c>
      <c r="AM12" s="92">
        <f>(AH12-P12)/P12</f>
        <v>0.18047431994447</v>
      </c>
      <c r="AN12" s="112">
        <f>AI12-Q12</f>
        <v>166.0571154465506</v>
      </c>
      <c r="AO12" s="92">
        <f>AN12/Q12</f>
        <v>0.12990632315930281</v>
      </c>
      <c r="AP12" s="179">
        <f t="shared" si="11"/>
        <v>2.3275880667556805</v>
      </c>
    </row>
    <row r="13" spans="2:42">
      <c r="B13" s="97">
        <v>475</v>
      </c>
      <c r="C13" s="99">
        <f>IF($C$5&lt;&gt;"Memoria CNMC",$C$5,IF(B13&gt;'Tipología Clientes'!$C$16,'Tipología Clientes'!$L$16,IF(B13&gt;'Tipología Clientes'!$C$15,'Tipología Clientes'!$L$15,IF(B13&gt;'Tipología Clientes'!$C$14,'Tipología Clientes'!$L$14,IF(B13&gt;'Tipología Clientes'!$C$13,'Tipología Clientes'!$L$13,IF(B13&gt;'Tipología Clientes'!$C$12,'Tipología Clientes'!$L$12,IF(B13&gt;'Tipología Clientes'!$C$11,'Tipología Clientes'!$L$11,IF(B13&gt;'Tipología Clientes'!$C$10,'Tipología Clientes'!$L$10,IF(B13&gt;'Tipología Clientes'!$C$9,'Tipología Clientes'!$L$9,IF(B13&gt;'Tipología Clientes'!$C$8,'Tipología Clientes'!$L$8,IF(B13&gt;'Tipología Clientes'!$C$7,'Tipología Clientes'!$L$7,'Tipología Clientes'!$L$6)))))))))))</f>
        <v>0.41959262584789264</v>
      </c>
      <c r="D13" s="100">
        <f t="shared" si="0"/>
        <v>3.1015079456745767</v>
      </c>
      <c r="E13" s="71" t="str">
        <f>IF(B13&gt;'Peajes Actuales'!$C$14,'Peajes Actuales'!$B$14,IF(B13&gt;'Peajes Actuales'!$C$13,'Peajes Actuales'!$B$13,IF(B13&gt;'Peajes Actuales'!$C$12,'Peajes Actuales'!$B$12,'Peajes Actuales'!$B$11)))</f>
        <v>3.4</v>
      </c>
      <c r="F13" s="81">
        <f>'Peajes Actuales'!$H$36</f>
        <v>28.805999999999997</v>
      </c>
      <c r="G13" s="81">
        <f>'Peajes Actuales'!$I$36</f>
        <v>0.17100000000000001</v>
      </c>
      <c r="H13" s="110">
        <f t="shared" si="1"/>
        <v>1072.1044545972222</v>
      </c>
      <c r="I13" s="110">
        <f t="shared" si="2"/>
        <v>81.225000000000009</v>
      </c>
      <c r="J13" s="109">
        <f t="shared" si="3"/>
        <v>1153.3294545972221</v>
      </c>
      <c r="K13" s="81">
        <f>VLOOKUP(E13,'Peajes Actuales'!$B$11:$L$14,11,FALSE)</f>
        <v>0.72199999999999998</v>
      </c>
      <c r="L13" s="80">
        <f>VLOOKUP(E13,'Peajes Actuales'!$B$11:$J$14,8,FALSE)*K13</f>
        <v>58.460339999999995</v>
      </c>
      <c r="M13" s="83">
        <f>VLOOKUP(E13,'Peajes Actuales'!$B$11:$J$14,9,FALSE)*K13</f>
        <v>9.3946640000000006</v>
      </c>
      <c r="N13" s="110">
        <f t="shared" si="4"/>
        <v>701.52407999999991</v>
      </c>
      <c r="O13" s="110">
        <f>B13*M13</f>
        <v>4462.4654</v>
      </c>
      <c r="P13" s="109">
        <f t="shared" si="5"/>
        <v>5163.9894800000002</v>
      </c>
      <c r="Q13" s="111">
        <f t="shared" si="6"/>
        <v>6317.3189345972223</v>
      </c>
      <c r="R13" s="74">
        <f>Q13/B13</f>
        <v>13.299618809678362</v>
      </c>
      <c r="T13" s="71" t="str">
        <f>IF(B13&gt;'Peajes Circular CNMC'!$C$23,'Peajes Circular CNMC'!$B$23,IF(B13&gt;'Peajes Circular CNMC'!$C$22,'Peajes Circular CNMC'!$B$22,IF(B13&gt;'Peajes Circular CNMC'!$C$21,'Peajes Circular CNMC'!$B$21,IF(B13&gt;'Peajes Circular CNMC'!$C$20,'Peajes Circular CNMC'!$B$20,IF(B13&gt;'Peajes Circular CNMC'!$C$19,'Peajes Circular CNMC'!$B$19,IF(B13&gt;'Peajes Circular CNMC'!$C$18,'Peajes Circular CNMC'!$B$18,IF(B13&gt;'Peajes Circular CNMC'!$C$17,'Peajes Circular CNMC'!$B$17,IF(B13&gt;'Peajes Circular CNMC'!$C$16,'Peajes Circular CNMC'!$B$16,IF(B13&gt;'Peajes Circular CNMC'!$C$15,'Peajes Circular CNMC'!$B$15,IF(B13&gt;'Peajes Circular CNMC'!$C$14,'Peajes Circular CNMC'!$B$14,'Peajes Circular CNMC'!$B$13))))))))))</f>
        <v>D.5</v>
      </c>
      <c r="U13" s="89">
        <f>'Peajes Circular CNMC'!$H$42</f>
        <v>21.719000000000001</v>
      </c>
      <c r="V13" s="81">
        <f>'Peajes Circular CNMC'!$I$42</f>
        <v>8.6959999999999996E-2</v>
      </c>
      <c r="W13" s="110">
        <f>12*U13*D13</f>
        <v>808.33981286527364</v>
      </c>
      <c r="X13" s="110">
        <f>V13*B13</f>
        <v>41.305999999999997</v>
      </c>
      <c r="Y13" s="109">
        <f t="shared" si="7"/>
        <v>849.64581286527368</v>
      </c>
      <c r="Z13" s="81">
        <f>'Peajes Circular CNMC'!$H$35</f>
        <v>0.14737</v>
      </c>
      <c r="AA13" s="109">
        <f t="shared" si="8"/>
        <v>70.000749999999996</v>
      </c>
      <c r="AB13" s="91">
        <f>VLOOKUP(T13,'Peajes Circular CNMC'!$B$13:$J$23,7,FALSE)</f>
        <v>0</v>
      </c>
      <c r="AC13" s="80">
        <f>VLOOKUP(T13,'Peajes Circular CNMC'!$B$13:$J$23,8,FALSE)</f>
        <v>184.27269999999999</v>
      </c>
      <c r="AD13" s="80">
        <f>VLOOKUP(T13,'Peajes Circular CNMC'!$B$13:$J$23,9,FALSE)</f>
        <v>12.071</v>
      </c>
      <c r="AE13" s="110">
        <f>12*AB13*D13</f>
        <v>0</v>
      </c>
      <c r="AF13" s="110">
        <f t="shared" si="9"/>
        <v>2211.2723999999998</v>
      </c>
      <c r="AG13" s="110">
        <f>AD13*B13</f>
        <v>5733.7249999999995</v>
      </c>
      <c r="AH13" s="109">
        <f t="shared" si="10"/>
        <v>7944.9973999999993</v>
      </c>
      <c r="AI13" s="111">
        <f>Y13+AA13+AH13</f>
        <v>8864.6439628652734</v>
      </c>
      <c r="AJ13" s="74">
        <f>AI13/B13</f>
        <v>18.662408342874258</v>
      </c>
      <c r="AK13" s="62"/>
      <c r="AL13" s="70">
        <f>(Y13-J13)/J13</f>
        <v>-0.26331040148281315</v>
      </c>
      <c r="AM13" s="92">
        <f>(AH13-P13)/P13</f>
        <v>0.53853864938547458</v>
      </c>
      <c r="AN13" s="112">
        <f>AI13-Q13</f>
        <v>2547.325028268051</v>
      </c>
      <c r="AO13" s="92">
        <f>AN13/Q13</f>
        <v>0.40322881504643593</v>
      </c>
      <c r="AP13" s="179">
        <f t="shared" si="11"/>
        <v>5.3627895331958957</v>
      </c>
    </row>
  </sheetData>
  <mergeCells count="14">
    <mergeCell ref="E8:E9"/>
    <mergeCell ref="Q8:R8"/>
    <mergeCell ref="AI8:AJ8"/>
    <mergeCell ref="AN8:AO8"/>
    <mergeCell ref="C5:D5"/>
    <mergeCell ref="F6:R6"/>
    <mergeCell ref="U6:AJ6"/>
    <mergeCell ref="F7:J7"/>
    <mergeCell ref="K7:P7"/>
    <mergeCell ref="Q7:R7"/>
    <mergeCell ref="U7:Y7"/>
    <mergeCell ref="AB7:AH7"/>
    <mergeCell ref="AI7:AJ7"/>
    <mergeCell ref="Z7:AA7"/>
  </mergeCells>
  <conditionalFormatting sqref="AL10:AN13">
    <cfRule type="cellIs" dxfId="25" priority="8" operator="greaterThan">
      <formula>0</formula>
    </cfRule>
  </conditionalFormatting>
  <conditionalFormatting sqref="AO10:AO13">
    <cfRule type="cellIs" dxfId="24" priority="7" operator="greaterThan">
      <formula>0</formula>
    </cfRule>
  </conditionalFormatting>
  <conditionalFormatting sqref="AL10:AN13">
    <cfRule type="cellIs" dxfId="23" priority="6" operator="lessThan">
      <formula>0</formula>
    </cfRule>
  </conditionalFormatting>
  <conditionalFormatting sqref="AO10:AO13">
    <cfRule type="cellIs" dxfId="22" priority="5" operator="lessThan">
      <formula>0</formula>
    </cfRule>
  </conditionalFormatting>
  <conditionalFormatting sqref="AP10:AP13">
    <cfRule type="cellIs" dxfId="21" priority="2" operator="greaterThan">
      <formula>0</formula>
    </cfRule>
  </conditionalFormatting>
  <conditionalFormatting sqref="AP10:AP13">
    <cfRule type="cellIs" dxfId="20" priority="1" operator="lessThan">
      <formula>0</formula>
    </cfRule>
  </conditionalFormatting>
  <dataValidations count="1">
    <dataValidation type="list" allowBlank="1" showInputMessage="1" showErrorMessage="1" sqref="C5">
      <mc:AlternateContent xmlns:x12ac="http://schemas.microsoft.com/office/spreadsheetml/2011/1/ac" xmlns:mc="http://schemas.openxmlformats.org/markup-compatibility/2006">
        <mc:Choice Requires="x12ac">
          <x12ac:list>Memoria CNMC,"0,80","0,85","0,90"</x12ac:list>
        </mc:Choice>
        <mc:Fallback>
          <formula1>"Memoria CNMC,0,80,0,85,0,90"</formula1>
        </mc:Fallback>
      </mc:AlternateContent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Header>&amp;LANEXO II: CÁLCULO DEL EFECTO DE LA EVOLUCIÓN DE LOS PEAJES EN EL PERIODO 2020-2026&amp;R&amp;A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BB23"/>
  <sheetViews>
    <sheetView showGridLines="0" topLeftCell="A7" zoomScale="80" zoomScaleNormal="80" workbookViewId="0">
      <selection activeCell="AV16" sqref="AV16"/>
    </sheetView>
  </sheetViews>
  <sheetFormatPr baseColWidth="10" defaultColWidth="11" defaultRowHeight="16.5" outlineLevelCol="1"/>
  <cols>
    <col min="1" max="1" width="2.140625" style="62" customWidth="1"/>
    <col min="2" max="2" width="10.140625" style="61" customWidth="1"/>
    <col min="3" max="3" width="6.7109375" style="62" customWidth="1"/>
    <col min="4" max="4" width="10.42578125" style="62" customWidth="1"/>
    <col min="5" max="5" width="8.42578125" style="62" customWidth="1"/>
    <col min="6" max="6" width="13.42578125" style="69" hidden="1" customWidth="1" outlineLevel="1"/>
    <col min="7" max="7" width="10" style="69" hidden="1" customWidth="1" outlineLevel="1"/>
    <col min="8" max="8" width="12.5703125" style="73" hidden="1" customWidth="1" outlineLevel="1"/>
    <col min="9" max="9" width="11.5703125" style="73" hidden="1" customWidth="1" outlineLevel="1"/>
    <col min="10" max="10" width="13.28515625" style="73" customWidth="1" collapsed="1"/>
    <col min="11" max="11" width="13.42578125" style="62" hidden="1" customWidth="1" outlineLevel="1"/>
    <col min="12" max="12" width="14.5703125" style="62" customWidth="1" collapsed="1"/>
    <col min="13" max="13" width="13.42578125" style="62" hidden="1" customWidth="1" outlineLevel="1"/>
    <col min="14" max="14" width="10" style="62" hidden="1" customWidth="1" outlineLevel="1"/>
    <col min="15" max="15" width="14.140625" style="62" hidden="1" customWidth="1" outlineLevel="1"/>
    <col min="16" max="16" width="12.5703125" style="62" hidden="1" customWidth="1" outlineLevel="1"/>
    <col min="17" max="17" width="14.140625" style="62" bestFit="1" customWidth="1" collapsed="1"/>
    <col min="18" max="18" width="17.28515625" style="62" bestFit="1" customWidth="1"/>
    <col min="19" max="19" width="7.42578125" style="62" bestFit="1" customWidth="1"/>
    <col min="20" max="20" width="0.85546875" style="62" customWidth="1"/>
    <col min="21" max="21" width="8.140625" style="62" customWidth="1"/>
    <col min="22" max="22" width="13.42578125" style="62" hidden="1" customWidth="1" outlineLevel="1"/>
    <col min="23" max="23" width="8.5703125" style="62" hidden="1" customWidth="1" outlineLevel="1"/>
    <col min="24" max="24" width="12.5703125" style="62" hidden="1" customWidth="1" outlineLevel="1"/>
    <col min="25" max="25" width="11.5703125" style="62" hidden="1" customWidth="1" outlineLevel="1"/>
    <col min="26" max="26" width="14.140625" style="62" bestFit="1" customWidth="1" collapsed="1"/>
    <col min="27" max="27" width="9" style="62" hidden="1" customWidth="1" outlineLevel="1"/>
    <col min="28" max="28" width="13.85546875" style="62" customWidth="1" collapsed="1"/>
    <col min="29" max="32" width="13.42578125" style="62" hidden="1" customWidth="1" outlineLevel="1"/>
    <col min="33" max="33" width="15.5703125" style="62" customWidth="1" collapsed="1"/>
    <col min="34" max="37" width="13.42578125" style="62" hidden="1" customWidth="1" outlineLevel="1"/>
    <col min="38" max="38" width="14.140625" style="62" customWidth="1" collapsed="1"/>
    <col min="39" max="39" width="13.42578125" style="62" hidden="1" customWidth="1" outlineLevel="1"/>
    <col min="40" max="40" width="10.7109375" style="62" hidden="1" customWidth="1" outlineLevel="1"/>
    <col min="41" max="41" width="7.42578125" style="62" hidden="1" customWidth="1" outlineLevel="1"/>
    <col min="42" max="42" width="12.5703125" style="62" hidden="1" customWidth="1" outlineLevel="1"/>
    <col min="43" max="43" width="10.7109375" style="62" hidden="1" customWidth="1" outlineLevel="1"/>
    <col min="44" max="44" width="12.5703125" style="62" hidden="1" customWidth="1" outlineLevel="1"/>
    <col min="45" max="45" width="13.5703125" style="62" customWidth="1" collapsed="1"/>
    <col min="46" max="46" width="16.7109375" style="62" bestFit="1" customWidth="1"/>
    <col min="47" max="47" width="8.42578125" style="62" customWidth="1"/>
    <col min="48" max="48" width="0.7109375" style="62" customWidth="1"/>
    <col min="49" max="49" width="11" style="69" hidden="1" customWidth="1" outlineLevel="1"/>
    <col min="50" max="50" width="12.140625" style="69" hidden="1" customWidth="1" outlineLevel="1"/>
    <col min="51" max="51" width="10.5703125" style="62" hidden="1" customWidth="1" outlineLevel="1"/>
    <col min="52" max="52" width="13.85546875" style="62" customWidth="1" collapsed="1"/>
    <col min="53" max="53" width="9.42578125" style="62" customWidth="1"/>
    <col min="54" max="54" width="8.42578125" style="62" bestFit="1" customWidth="1"/>
    <col min="55" max="16384" width="11" style="62"/>
  </cols>
  <sheetData>
    <row r="2" spans="2:54" ht="18">
      <c r="B2" s="188" t="s">
        <v>191</v>
      </c>
    </row>
    <row r="3" spans="2:54" ht="20.25">
      <c r="B3" s="189" t="s">
        <v>137</v>
      </c>
    </row>
    <row r="5" spans="2:54">
      <c r="B5" s="115" t="s">
        <v>38</v>
      </c>
      <c r="C5" s="262">
        <v>0.85</v>
      </c>
      <c r="D5" s="263"/>
    </row>
    <row r="6" spans="2:54">
      <c r="B6" s="281" t="s">
        <v>106</v>
      </c>
      <c r="C6" s="281"/>
      <c r="D6" s="116">
        <v>0</v>
      </c>
      <c r="F6" s="264" t="s">
        <v>100</v>
      </c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6"/>
      <c r="V6" s="267" t="s">
        <v>101</v>
      </c>
      <c r="W6" s="268"/>
      <c r="X6" s="268"/>
      <c r="Y6" s="268"/>
      <c r="Z6" s="268"/>
      <c r="AA6" s="268"/>
      <c r="AB6" s="268"/>
      <c r="AC6" s="268"/>
      <c r="AD6" s="268"/>
      <c r="AE6" s="268"/>
      <c r="AF6" s="268"/>
      <c r="AG6" s="268"/>
      <c r="AH6" s="268"/>
      <c r="AI6" s="268"/>
      <c r="AJ6" s="268"/>
      <c r="AK6" s="268"/>
      <c r="AL6" s="268"/>
      <c r="AM6" s="268"/>
      <c r="AN6" s="268"/>
      <c r="AO6" s="268"/>
      <c r="AP6" s="268"/>
      <c r="AQ6" s="268"/>
      <c r="AR6" s="268"/>
      <c r="AS6" s="268"/>
      <c r="AT6" s="268"/>
      <c r="AU6" s="269"/>
    </row>
    <row r="7" spans="2:54">
      <c r="F7" s="270" t="s">
        <v>94</v>
      </c>
      <c r="G7" s="271"/>
      <c r="H7" s="271"/>
      <c r="I7" s="271"/>
      <c r="J7" s="272"/>
      <c r="K7" s="270" t="s">
        <v>95</v>
      </c>
      <c r="L7" s="272"/>
      <c r="M7" s="270" t="s">
        <v>96</v>
      </c>
      <c r="N7" s="271"/>
      <c r="O7" s="271"/>
      <c r="P7" s="271"/>
      <c r="Q7" s="272"/>
      <c r="R7" s="270" t="s">
        <v>99</v>
      </c>
      <c r="S7" s="272"/>
      <c r="V7" s="273" t="s">
        <v>94</v>
      </c>
      <c r="W7" s="274"/>
      <c r="X7" s="274"/>
      <c r="Y7" s="274"/>
      <c r="Z7" s="275"/>
      <c r="AA7" s="273" t="s">
        <v>132</v>
      </c>
      <c r="AB7" s="275"/>
      <c r="AC7" s="273" t="s">
        <v>133</v>
      </c>
      <c r="AD7" s="274"/>
      <c r="AE7" s="274"/>
      <c r="AF7" s="274"/>
      <c r="AG7" s="275"/>
      <c r="AH7" s="273" t="s">
        <v>134</v>
      </c>
      <c r="AI7" s="274"/>
      <c r="AJ7" s="274"/>
      <c r="AK7" s="274"/>
      <c r="AL7" s="275"/>
      <c r="AM7" s="273" t="s">
        <v>104</v>
      </c>
      <c r="AN7" s="274"/>
      <c r="AO7" s="274"/>
      <c r="AP7" s="274"/>
      <c r="AQ7" s="274"/>
      <c r="AR7" s="274"/>
      <c r="AS7" s="275"/>
      <c r="AT7" s="273" t="s">
        <v>99</v>
      </c>
      <c r="AU7" s="275"/>
    </row>
    <row r="8" spans="2:54">
      <c r="B8" s="63" t="s">
        <v>86</v>
      </c>
      <c r="C8" s="64" t="s">
        <v>38</v>
      </c>
      <c r="D8" s="65" t="s">
        <v>88</v>
      </c>
      <c r="F8" s="76" t="s">
        <v>54</v>
      </c>
      <c r="G8" s="75" t="s">
        <v>91</v>
      </c>
      <c r="H8" s="78" t="s">
        <v>54</v>
      </c>
      <c r="I8" s="78" t="s">
        <v>91</v>
      </c>
      <c r="J8" s="79" t="s">
        <v>92</v>
      </c>
      <c r="K8" s="76" t="s">
        <v>54</v>
      </c>
      <c r="L8" s="77" t="s">
        <v>92</v>
      </c>
      <c r="M8" s="76" t="s">
        <v>90</v>
      </c>
      <c r="N8" s="75" t="s">
        <v>91</v>
      </c>
      <c r="O8" s="75" t="s">
        <v>90</v>
      </c>
      <c r="P8" s="75" t="s">
        <v>91</v>
      </c>
      <c r="Q8" s="77" t="s">
        <v>92</v>
      </c>
      <c r="R8" s="257" t="s">
        <v>98</v>
      </c>
      <c r="S8" s="258"/>
      <c r="V8" s="87" t="s">
        <v>54</v>
      </c>
      <c r="W8" s="84" t="s">
        <v>91</v>
      </c>
      <c r="X8" s="85" t="s">
        <v>54</v>
      </c>
      <c r="Y8" s="85" t="s">
        <v>91</v>
      </c>
      <c r="Z8" s="86" t="s">
        <v>92</v>
      </c>
      <c r="AA8" s="181"/>
      <c r="AB8" s="180" t="s">
        <v>92</v>
      </c>
      <c r="AC8" s="87" t="s">
        <v>54</v>
      </c>
      <c r="AD8" s="84" t="s">
        <v>91</v>
      </c>
      <c r="AE8" s="84" t="s">
        <v>54</v>
      </c>
      <c r="AF8" s="84" t="s">
        <v>91</v>
      </c>
      <c r="AG8" s="88" t="s">
        <v>92</v>
      </c>
      <c r="AH8" s="87" t="s">
        <v>54</v>
      </c>
      <c r="AI8" s="84" t="s">
        <v>91</v>
      </c>
      <c r="AJ8" s="84" t="s">
        <v>54</v>
      </c>
      <c r="AK8" s="84" t="s">
        <v>91</v>
      </c>
      <c r="AL8" s="88" t="s">
        <v>92</v>
      </c>
      <c r="AM8" s="87" t="s">
        <v>90</v>
      </c>
      <c r="AN8" s="84" t="s">
        <v>50</v>
      </c>
      <c r="AO8" s="84" t="s">
        <v>91</v>
      </c>
      <c r="AP8" s="84" t="s">
        <v>90</v>
      </c>
      <c r="AQ8" s="84" t="s">
        <v>50</v>
      </c>
      <c r="AR8" s="84" t="s">
        <v>91</v>
      </c>
      <c r="AS8" s="88" t="s">
        <v>92</v>
      </c>
      <c r="AT8" s="259" t="s">
        <v>98</v>
      </c>
      <c r="AU8" s="260"/>
      <c r="AW8" s="94" t="s">
        <v>94</v>
      </c>
      <c r="AX8" s="94" t="s">
        <v>95</v>
      </c>
      <c r="AY8" s="94" t="s">
        <v>96</v>
      </c>
      <c r="AZ8" s="261" t="s">
        <v>92</v>
      </c>
      <c r="BA8" s="261"/>
    </row>
    <row r="9" spans="2:54" s="69" customFormat="1">
      <c r="B9" s="66" t="s">
        <v>87</v>
      </c>
      <c r="C9" s="67" t="s">
        <v>53</v>
      </c>
      <c r="D9" s="68" t="s">
        <v>37</v>
      </c>
      <c r="E9" s="123" t="s">
        <v>89</v>
      </c>
      <c r="F9" s="68" t="s">
        <v>58</v>
      </c>
      <c r="G9" s="68" t="s">
        <v>12</v>
      </c>
      <c r="H9" s="72" t="s">
        <v>93</v>
      </c>
      <c r="I9" s="72" t="s">
        <v>93</v>
      </c>
      <c r="J9" s="72" t="s">
        <v>93</v>
      </c>
      <c r="K9" s="68" t="s">
        <v>58</v>
      </c>
      <c r="L9" s="68" t="s">
        <v>93</v>
      </c>
      <c r="M9" s="68" t="s">
        <v>58</v>
      </c>
      <c r="N9" s="68" t="s">
        <v>12</v>
      </c>
      <c r="O9" s="68" t="s">
        <v>93</v>
      </c>
      <c r="P9" s="68" t="s">
        <v>93</v>
      </c>
      <c r="Q9" s="68" t="s">
        <v>93</v>
      </c>
      <c r="R9" s="68" t="s">
        <v>93</v>
      </c>
      <c r="S9" s="68" t="s">
        <v>12</v>
      </c>
      <c r="U9" s="122" t="s">
        <v>89</v>
      </c>
      <c r="V9" s="68" t="s">
        <v>58</v>
      </c>
      <c r="W9" s="68" t="s">
        <v>12</v>
      </c>
      <c r="X9" s="72" t="s">
        <v>93</v>
      </c>
      <c r="Y9" s="72" t="s">
        <v>93</v>
      </c>
      <c r="Z9" s="72" t="s">
        <v>93</v>
      </c>
      <c r="AA9" s="68" t="s">
        <v>12</v>
      </c>
      <c r="AB9" s="72" t="s">
        <v>93</v>
      </c>
      <c r="AC9" s="68" t="s">
        <v>58</v>
      </c>
      <c r="AD9" s="68" t="s">
        <v>12</v>
      </c>
      <c r="AE9" s="68" t="s">
        <v>93</v>
      </c>
      <c r="AF9" s="68" t="s">
        <v>93</v>
      </c>
      <c r="AG9" s="68" t="s">
        <v>93</v>
      </c>
      <c r="AH9" s="68" t="s">
        <v>58</v>
      </c>
      <c r="AI9" s="68" t="s">
        <v>12</v>
      </c>
      <c r="AJ9" s="68" t="s">
        <v>93</v>
      </c>
      <c r="AK9" s="68" t="s">
        <v>93</v>
      </c>
      <c r="AL9" s="68" t="s">
        <v>93</v>
      </c>
      <c r="AM9" s="68" t="s">
        <v>58</v>
      </c>
      <c r="AN9" s="68" t="s">
        <v>97</v>
      </c>
      <c r="AO9" s="68" t="s">
        <v>12</v>
      </c>
      <c r="AP9" s="68" t="s">
        <v>93</v>
      </c>
      <c r="AQ9" s="68" t="s">
        <v>93</v>
      </c>
      <c r="AR9" s="68" t="s">
        <v>93</v>
      </c>
      <c r="AS9" s="68" t="s">
        <v>93</v>
      </c>
      <c r="AT9" s="68" t="s">
        <v>93</v>
      </c>
      <c r="AU9" s="68" t="s">
        <v>12</v>
      </c>
      <c r="AW9" s="93" t="s">
        <v>102</v>
      </c>
      <c r="AX9" s="93" t="s">
        <v>102</v>
      </c>
      <c r="AY9" s="93" t="s">
        <v>102</v>
      </c>
      <c r="AZ9" s="95" t="s">
        <v>103</v>
      </c>
      <c r="BA9" s="96" t="s">
        <v>53</v>
      </c>
      <c r="BB9" s="178" t="s">
        <v>129</v>
      </c>
    </row>
    <row r="10" spans="2:54">
      <c r="B10" s="97">
        <v>8250</v>
      </c>
      <c r="C10" s="99">
        <f>IF($C$5&lt;&gt;"Memoria CNMC",$C$5,IF(B10&gt;'Tipología Clientes'!$C$16,'Tipología Clientes'!$L$16,IF(B10&gt;'Tipología Clientes'!$C$15,'Tipología Clientes'!$L$15,IF(B10&gt;'Tipología Clientes'!$C$14,'Tipología Clientes'!$L$14,IF(B10&gt;'Tipología Clientes'!$C$13,'Tipología Clientes'!$L$13,IF(B10&gt;'Tipología Clientes'!$C$12,'Tipología Clientes'!$L$12,IF(B10&gt;'Tipología Clientes'!$C$11,'Tipología Clientes'!$L$11,IF(B10&gt;'Tipología Clientes'!$C$10,'Tipología Clientes'!$L$10,IF(B10&gt;'Tipología Clientes'!$C$9,'Tipología Clientes'!$L$9,IF(B10&gt;'Tipología Clientes'!$C$8,'Tipología Clientes'!$L$8,IF(B10&gt;'Tipología Clientes'!$C$7,'Tipología Clientes'!$L$7,'Tipología Clientes'!$L$6)))))))))))</f>
        <v>0.85</v>
      </c>
      <c r="D10" s="100">
        <f>B10/365/C10</f>
        <v>26.591458501208702</v>
      </c>
      <c r="E10" s="71" t="str">
        <f>IF(B10&gt;'Peajes Actuales'!$C$15,'Peajes Actuales'!$B$15,IF(B10&gt;'Peajes Actuales'!$C$14,'Peajes Actuales'!$B$14,IF(B10&gt;'Peajes Actuales'!$C$13,'Peajes Actuales'!$B$13,IF(B10&gt;'Peajes Actuales'!$C$12,'Peajes Actuales'!$B$12,'Peajes Actuales'!$B$11))))</f>
        <v>3.5</v>
      </c>
      <c r="F10" s="81">
        <f>'Peajes Actuales'!$H$29</f>
        <v>19.612000000000002</v>
      </c>
      <c r="G10" s="81">
        <f>'Peajes Actuales'!$I$29</f>
        <v>0.11599999999999999</v>
      </c>
      <c r="H10" s="110">
        <f>D10*F10*12</f>
        <v>6258.1402095084613</v>
      </c>
      <c r="I10" s="110">
        <f>B10*G10</f>
        <v>956.99999999999989</v>
      </c>
      <c r="J10" s="109">
        <f>H10+I10</f>
        <v>7215.1402095084613</v>
      </c>
      <c r="K10" s="82">
        <f>'Peajes Actuales'!$I$5</f>
        <v>10.848000000000001</v>
      </c>
      <c r="L10" s="109">
        <f>12*K10*D10</f>
        <v>3461.5697018533447</v>
      </c>
      <c r="M10" s="83">
        <f>VLOOKUP(E10,'Peajes Actuales'!$B$15:$J$15,7,FALSE)</f>
        <v>59.258000000000003</v>
      </c>
      <c r="N10" s="83">
        <f>VLOOKUP(E10,'Peajes Actuales'!$B$15:$J$15,9,FALSE)</f>
        <v>2.0099999999999998</v>
      </c>
      <c r="O10" s="110">
        <f>IF($D$6&lt;=0.3,M10*D10*12,(D10-$D$6*0.5*D10)*M10*12)</f>
        <v>18909.079774375503</v>
      </c>
      <c r="P10" s="110">
        <f>B10*N10</f>
        <v>16582.5</v>
      </c>
      <c r="Q10" s="109">
        <f>SUM(O10:P10)</f>
        <v>35491.579774375503</v>
      </c>
      <c r="R10" s="111">
        <f>J10+L10+Q10</f>
        <v>46168.289685737313</v>
      </c>
      <c r="S10" s="74">
        <f>R10/B10</f>
        <v>5.5961563255439168</v>
      </c>
      <c r="U10" s="71" t="str">
        <f>IF(B10&gt;'Peajes Circular CNMC'!$C$23,'Peajes Circular CNMC'!$B$23,IF(B10&gt;'Peajes Circular CNMC'!$C$22,'Peajes Circular CNMC'!$B$22,IF(B10&gt;'Peajes Circular CNMC'!$C$21,'Peajes Circular CNMC'!$B$21,IF(B10&gt;'Peajes Circular CNMC'!$C$20,'Peajes Circular CNMC'!$B$20,IF(B10&gt;'Peajes Circular CNMC'!$C$19,'Peajes Circular CNMC'!$B$19,IF(B10&gt;'Peajes Circular CNMC'!$C$18,'Peajes Circular CNMC'!$B$18,IF(B10&gt;'Peajes Circular CNMC'!$C$17,'Peajes Circular CNMC'!$B$17,IF(B10&gt;'Peajes Circular CNMC'!$C$16,'Peajes Circular CNMC'!$B$16,IF(B10&gt;'Peajes Circular CNMC'!$C$15,'Peajes Circular CNMC'!$B$15,IF(B10&gt;'Peajes Circular CNMC'!$C$14,'Peajes Circular CNMC'!$B$14,'Peajes Circular CNMC'!$B$13))))))))))</f>
        <v>D.7</v>
      </c>
      <c r="V10" s="89">
        <f>'Peajes Circular CNMC'!$H$30</f>
        <v>25.224</v>
      </c>
      <c r="W10" s="81">
        <f>'Peajes Circular CNMC'!$I$30</f>
        <v>0.10178</v>
      </c>
      <c r="X10" s="110">
        <f>12*V10*D10</f>
        <v>8048.9153908138596</v>
      </c>
      <c r="Y10" s="110">
        <f>W10*B10</f>
        <v>839.68499999999995</v>
      </c>
      <c r="Z10" s="109">
        <f>X10+Y10</f>
        <v>8888.6003908138591</v>
      </c>
      <c r="AA10" s="81">
        <f>'Peajes Circular CNMC'!$H$35</f>
        <v>0.14737</v>
      </c>
      <c r="AB10" s="109">
        <f>B10*AA10</f>
        <v>1215.8025</v>
      </c>
      <c r="AC10" s="90">
        <f>'Peajes Circular CNMC'!$J$6</f>
        <v>13.922499999999999</v>
      </c>
      <c r="AD10" s="90">
        <f>'Peajes Circular CNMC'!$J$7</f>
        <v>2.5181930000000002E-2</v>
      </c>
      <c r="AE10" s="110">
        <f>AC10*12*D10</f>
        <v>4442.6349717969379</v>
      </c>
      <c r="AF10" s="110">
        <f>AD10*B10</f>
        <v>207.7509225</v>
      </c>
      <c r="AG10" s="109">
        <f>AE10+AF10</f>
        <v>4650.3858942969382</v>
      </c>
      <c r="AH10" s="90">
        <f>'Peajes Circular CNMC'!$K$6</f>
        <v>8.5966666666666658</v>
      </c>
      <c r="AI10" s="90">
        <f>'Peajes Circular CNMC'!$K$7</f>
        <v>2.5181930000000002E-2</v>
      </c>
      <c r="AJ10" s="110">
        <f>AH10*12*D10</f>
        <v>2743.1748589846898</v>
      </c>
      <c r="AK10" s="110">
        <f>AI10*B10</f>
        <v>207.7509225</v>
      </c>
      <c r="AL10" s="109">
        <f>AJ10+AK10</f>
        <v>2950.9257814846897</v>
      </c>
      <c r="AM10" s="91">
        <f>VLOOKUP(U10,'Peajes Circular CNMC'!$B$13:$J$23,7,FALSE)</f>
        <v>70.858333333333334</v>
      </c>
      <c r="AN10" s="80">
        <f>VLOOKUP(U10,'Peajes Circular CNMC'!$B$13:$J$23,8,FALSE)</f>
        <v>0</v>
      </c>
      <c r="AO10" s="80">
        <f>VLOOKUP(U10,'Peajes Circular CNMC'!$B$13:$J$23,9,FALSE)</f>
        <v>0.83020000000000005</v>
      </c>
      <c r="AP10" s="110">
        <f>12*AM10*D10</f>
        <v>22610.717163577759</v>
      </c>
      <c r="AQ10" s="110">
        <f>12*AN10</f>
        <v>0</v>
      </c>
      <c r="AR10" s="110">
        <f>AO10*B10</f>
        <v>6849.1500000000005</v>
      </c>
      <c r="AS10" s="109">
        <f>AP10+AQ10+AR10</f>
        <v>29459.867163577761</v>
      </c>
      <c r="AT10" s="111">
        <f>Z10+AB10+AG10+AL10+AS10</f>
        <v>47165.581730173246</v>
      </c>
      <c r="AU10" s="74">
        <f>AT10/B10</f>
        <v>5.7170402097179691</v>
      </c>
      <c r="AW10" s="70">
        <f>(Z10-J10)/J10</f>
        <v>0.23193730581978586</v>
      </c>
      <c r="AX10" s="92">
        <f>(AG10-L10)/L10</f>
        <v>0.34343268945504529</v>
      </c>
      <c r="AY10" s="92">
        <f>(AL10+AS10-Q10)/Q10</f>
        <v>-8.6803316417527962E-2</v>
      </c>
      <c r="AZ10" s="112">
        <f t="shared" ref="AZ10:AZ23" si="0">AT10-R10</f>
        <v>997.29204443593335</v>
      </c>
      <c r="BA10" s="92">
        <f t="shared" ref="BA10:BA23" si="1">AZ10/R10</f>
        <v>2.1601234336909497E-2</v>
      </c>
      <c r="BB10" s="179">
        <f>AU10-S10</f>
        <v>0.12088388417405227</v>
      </c>
    </row>
    <row r="11" spans="2:54">
      <c r="B11" s="97">
        <v>8500</v>
      </c>
      <c r="C11" s="99">
        <f>IF($C$5&lt;&gt;"Memoria CNMC",$C$5,IF(B11&gt;'Tipología Clientes'!$C$16,'Tipología Clientes'!$L$16,IF(B11&gt;'Tipología Clientes'!$C$15,'Tipología Clientes'!$L$15,IF(B11&gt;'Tipología Clientes'!$C$14,'Tipología Clientes'!$L$14,IF(B11&gt;'Tipología Clientes'!$C$13,'Tipología Clientes'!$L$13,IF(B11&gt;'Tipología Clientes'!$C$12,'Tipología Clientes'!$L$12,IF(B11&gt;'Tipología Clientes'!$C$11,'Tipología Clientes'!$L$11,IF(B11&gt;'Tipología Clientes'!$C$10,'Tipología Clientes'!$L$10,IF(B11&gt;'Tipología Clientes'!$C$9,'Tipología Clientes'!$L$9,IF(B11&gt;'Tipología Clientes'!$C$8,'Tipología Clientes'!$L$8,IF(B11&gt;'Tipología Clientes'!$C$7,'Tipología Clientes'!$L$7,'Tipología Clientes'!$L$6)))))))))))</f>
        <v>0.85</v>
      </c>
      <c r="D11" s="100">
        <f t="shared" ref="D11:D23" si="2">B11/365/C11</f>
        <v>27.397260273972602</v>
      </c>
      <c r="E11" s="71" t="str">
        <f>IF(B11&gt;'Peajes Actuales'!$C$15,'Peajes Actuales'!$B$15,IF(B11&gt;'Peajes Actuales'!$C$14,'Peajes Actuales'!$B$14,IF(B11&gt;'Peajes Actuales'!$C$13,'Peajes Actuales'!$B$13,IF(B11&gt;'Peajes Actuales'!$C$12,'Peajes Actuales'!$B$12,'Peajes Actuales'!$B$11))))</f>
        <v>3.5</v>
      </c>
      <c r="F11" s="81">
        <f>'Peajes Actuales'!$H$29</f>
        <v>19.612000000000002</v>
      </c>
      <c r="G11" s="81">
        <f>'Peajes Actuales'!$I$29</f>
        <v>0.11599999999999999</v>
      </c>
      <c r="H11" s="110">
        <f t="shared" ref="H11:H23" si="3">D11*F11*12</f>
        <v>6447.7808219178096</v>
      </c>
      <c r="I11" s="110">
        <f t="shared" ref="I11:I23" si="4">B11*G11</f>
        <v>985.99999999999989</v>
      </c>
      <c r="J11" s="109">
        <f t="shared" ref="J11:J23" si="5">H11+I11</f>
        <v>7433.7808219178096</v>
      </c>
      <c r="K11" s="82">
        <f>'Peajes Actuales'!$I$5</f>
        <v>10.848000000000001</v>
      </c>
      <c r="L11" s="109">
        <f t="shared" ref="L11:L23" si="6">12*K11*D11</f>
        <v>3566.465753424658</v>
      </c>
      <c r="M11" s="83">
        <f>VLOOKUP(E11,'Peajes Actuales'!$B$15:$J$15,7,FALSE)</f>
        <v>59.258000000000003</v>
      </c>
      <c r="N11" s="83">
        <f>VLOOKUP(E11,'Peajes Actuales'!$B$15:$J$15,9,FALSE)</f>
        <v>2.0099999999999998</v>
      </c>
      <c r="O11" s="110">
        <f t="shared" ref="O11:O23" si="7">IF($D$6&lt;=0.3,M11*D11*12,(D11-$D$6*0.5*D11)*M11*12)</f>
        <v>19482.082191780824</v>
      </c>
      <c r="P11" s="110">
        <f t="shared" ref="P11:P23" si="8">B11*N11</f>
        <v>17085</v>
      </c>
      <c r="Q11" s="109">
        <f t="shared" ref="Q11:Q23" si="9">SUM(O11:P11)</f>
        <v>36567.082191780821</v>
      </c>
      <c r="R11" s="111">
        <f t="shared" ref="R11:R23" si="10">J11+L11+Q11</f>
        <v>47567.32876712329</v>
      </c>
      <c r="S11" s="74">
        <f t="shared" ref="S11:S23" si="11">R11/B11</f>
        <v>5.5961563255439168</v>
      </c>
      <c r="U11" s="71" t="str">
        <f>IF(B11&gt;'Peajes Circular CNMC'!$C$23,'Peajes Circular CNMC'!$B$23,IF(B11&gt;'Peajes Circular CNMC'!$C$22,'Peajes Circular CNMC'!$B$22,IF(B11&gt;'Peajes Circular CNMC'!$C$21,'Peajes Circular CNMC'!$B$21,IF(B11&gt;'Peajes Circular CNMC'!$C$20,'Peajes Circular CNMC'!$B$20,IF(B11&gt;'Peajes Circular CNMC'!$C$19,'Peajes Circular CNMC'!$B$19,IF(B11&gt;'Peajes Circular CNMC'!$C$18,'Peajes Circular CNMC'!$B$18,IF(B11&gt;'Peajes Circular CNMC'!$C$17,'Peajes Circular CNMC'!$B$17,IF(B11&gt;'Peajes Circular CNMC'!$C$16,'Peajes Circular CNMC'!$B$16,IF(B11&gt;'Peajes Circular CNMC'!$C$15,'Peajes Circular CNMC'!$B$15,IF(B11&gt;'Peajes Circular CNMC'!$C$14,'Peajes Circular CNMC'!$B$14,'Peajes Circular CNMC'!$B$13))))))))))</f>
        <v>D.7</v>
      </c>
      <c r="V11" s="89">
        <f>'Peajes Circular CNMC'!$H$30</f>
        <v>25.224</v>
      </c>
      <c r="W11" s="81">
        <f>'Peajes Circular CNMC'!$I$30</f>
        <v>0.10178</v>
      </c>
      <c r="X11" s="110">
        <f t="shared" ref="X11:X23" si="12">12*V11*D11</f>
        <v>8292.8219178082181</v>
      </c>
      <c r="Y11" s="110">
        <f t="shared" ref="Y11:Y23" si="13">W11*B11</f>
        <v>865.13</v>
      </c>
      <c r="Z11" s="109">
        <f t="shared" ref="Z11:Z23" si="14">X11+Y11</f>
        <v>9157.9519178082173</v>
      </c>
      <c r="AA11" s="81">
        <f>'Peajes Circular CNMC'!$H$35</f>
        <v>0.14737</v>
      </c>
      <c r="AB11" s="109">
        <f t="shared" ref="AB11:AB23" si="15">B11*AA11</f>
        <v>1252.645</v>
      </c>
      <c r="AC11" s="90">
        <f>'Peajes Circular CNMC'!$J$6</f>
        <v>13.922499999999999</v>
      </c>
      <c r="AD11" s="90">
        <f>'Peajes Circular CNMC'!$J$7</f>
        <v>2.5181930000000002E-2</v>
      </c>
      <c r="AE11" s="110">
        <f t="shared" ref="AE11:AE23" si="16">AC11*12*D11</f>
        <v>4577.2602739726026</v>
      </c>
      <c r="AF11" s="110">
        <f t="shared" ref="AF11:AF23" si="17">AD11*B11</f>
        <v>214.04640500000002</v>
      </c>
      <c r="AG11" s="109">
        <f t="shared" ref="AG11:AG23" si="18">AE11+AF11</f>
        <v>4791.3066789726026</v>
      </c>
      <c r="AH11" s="90">
        <f>'Peajes Circular CNMC'!$K$6</f>
        <v>8.5966666666666658</v>
      </c>
      <c r="AI11" s="90">
        <f>'Peajes Circular CNMC'!$K$7</f>
        <v>2.5181930000000002E-2</v>
      </c>
      <c r="AJ11" s="110">
        <f t="shared" ref="AJ11:AJ23" si="19">AH11*12*D11</f>
        <v>2826.3013698630134</v>
      </c>
      <c r="AK11" s="110">
        <f t="shared" ref="AK11:AK23" si="20">AI11*B11</f>
        <v>214.04640500000002</v>
      </c>
      <c r="AL11" s="109">
        <f t="shared" ref="AL11:AL23" si="21">AJ11+AK11</f>
        <v>3040.3477748630135</v>
      </c>
      <c r="AM11" s="91">
        <f>VLOOKUP(U11,'Peajes Circular CNMC'!$B$13:$J$23,7,FALSE)</f>
        <v>70.858333333333334</v>
      </c>
      <c r="AN11" s="80">
        <f>VLOOKUP(U11,'Peajes Circular CNMC'!$B$13:$J$23,8,FALSE)</f>
        <v>0</v>
      </c>
      <c r="AO11" s="80">
        <f>VLOOKUP(U11,'Peajes Circular CNMC'!$B$13:$J$23,9,FALSE)</f>
        <v>0.83020000000000005</v>
      </c>
      <c r="AP11" s="110">
        <f t="shared" ref="AP11:AP23" si="22">12*AM11*D11</f>
        <v>23295.890410958902</v>
      </c>
      <c r="AQ11" s="110">
        <f t="shared" ref="AQ11:AQ23" si="23">12*AN11</f>
        <v>0</v>
      </c>
      <c r="AR11" s="110">
        <f t="shared" ref="AR11:AR23" si="24">AO11*B11</f>
        <v>7056.7000000000007</v>
      </c>
      <c r="AS11" s="109">
        <f t="shared" ref="AS11:AS23" si="25">AP11+AQ11+AR11</f>
        <v>30352.590410958903</v>
      </c>
      <c r="AT11" s="111">
        <f t="shared" ref="AT11:AT23" si="26">Z11+AB11+AG11+AL11+AS11</f>
        <v>48594.841782602736</v>
      </c>
      <c r="AU11" s="74">
        <f t="shared" ref="AU11:AU23" si="27">AT11/B11</f>
        <v>5.7170402097179691</v>
      </c>
      <c r="AW11" s="70">
        <f t="shared" ref="AW11:AW23" si="28">(Z11-J11)/J11</f>
        <v>0.23193730581978556</v>
      </c>
      <c r="AX11" s="92">
        <f t="shared" ref="AX11:AX23" si="29">(AG11-L11)/L11</f>
        <v>0.34343268945504524</v>
      </c>
      <c r="AY11" s="92">
        <f t="shared" ref="AY11:AY23" si="30">(AL11+AS11-Q11)/Q11</f>
        <v>-8.6803316417528101E-2</v>
      </c>
      <c r="AZ11" s="112">
        <f t="shared" si="0"/>
        <v>1027.513015479446</v>
      </c>
      <c r="BA11" s="92">
        <f t="shared" si="1"/>
        <v>2.1601234336909487E-2</v>
      </c>
      <c r="BB11" s="179">
        <f t="shared" ref="BB11:BB23" si="31">AU11-S11</f>
        <v>0.12088388417405227</v>
      </c>
    </row>
    <row r="12" spans="2:54">
      <c r="B12" s="97">
        <v>9000</v>
      </c>
      <c r="C12" s="99">
        <f>IF($C$5&lt;&gt;"Memoria CNMC",$C$5,IF(B12&gt;'Tipología Clientes'!$C$16,'Tipología Clientes'!$L$16,IF(B12&gt;'Tipología Clientes'!$C$15,'Tipología Clientes'!$L$15,IF(B12&gt;'Tipología Clientes'!$C$14,'Tipología Clientes'!$L$14,IF(B12&gt;'Tipología Clientes'!$C$13,'Tipología Clientes'!$L$13,IF(B12&gt;'Tipología Clientes'!$C$12,'Tipología Clientes'!$L$12,IF(B12&gt;'Tipología Clientes'!$C$11,'Tipología Clientes'!$L$11,IF(B12&gt;'Tipología Clientes'!$C$10,'Tipología Clientes'!$L$10,IF(B12&gt;'Tipología Clientes'!$C$9,'Tipología Clientes'!$L$9,IF(B12&gt;'Tipología Clientes'!$C$8,'Tipología Clientes'!$L$8,IF(B12&gt;'Tipología Clientes'!$C$7,'Tipología Clientes'!$L$7,'Tipología Clientes'!$L$6)))))))))))</f>
        <v>0.85</v>
      </c>
      <c r="D12" s="100">
        <f t="shared" si="2"/>
        <v>29.008863819500402</v>
      </c>
      <c r="E12" s="71" t="str">
        <f>IF(B12&gt;'Peajes Actuales'!$C$15,'Peajes Actuales'!$B$15,IF(B12&gt;'Peajes Actuales'!$C$14,'Peajes Actuales'!$B$14,IF(B12&gt;'Peajes Actuales'!$C$13,'Peajes Actuales'!$B$13,IF(B12&gt;'Peajes Actuales'!$C$12,'Peajes Actuales'!$B$12,'Peajes Actuales'!$B$11))))</f>
        <v>3.5</v>
      </c>
      <c r="F12" s="81">
        <f>'Peajes Actuales'!$H$29</f>
        <v>19.612000000000002</v>
      </c>
      <c r="G12" s="81">
        <f>'Peajes Actuales'!$I$29</f>
        <v>0.11599999999999999</v>
      </c>
      <c r="H12" s="110">
        <f t="shared" si="3"/>
        <v>6827.0620467365025</v>
      </c>
      <c r="I12" s="110">
        <f t="shared" si="4"/>
        <v>1044</v>
      </c>
      <c r="J12" s="109">
        <f t="shared" si="5"/>
        <v>7871.0620467365025</v>
      </c>
      <c r="K12" s="82">
        <f>'Peajes Actuales'!$I$5</f>
        <v>10.848000000000001</v>
      </c>
      <c r="L12" s="109">
        <f t="shared" si="6"/>
        <v>3776.2578565672848</v>
      </c>
      <c r="M12" s="83">
        <f>VLOOKUP(E12,'Peajes Actuales'!$B$15:$J$15,7,FALSE)</f>
        <v>59.258000000000003</v>
      </c>
      <c r="N12" s="83">
        <f>VLOOKUP(E12,'Peajes Actuales'!$B$15:$J$15,9,FALSE)</f>
        <v>2.0099999999999998</v>
      </c>
      <c r="O12" s="110">
        <f t="shared" si="7"/>
        <v>20628.087026591456</v>
      </c>
      <c r="P12" s="110">
        <f t="shared" si="8"/>
        <v>18089.999999999996</v>
      </c>
      <c r="Q12" s="109">
        <f t="shared" si="9"/>
        <v>38718.087026591456</v>
      </c>
      <c r="R12" s="111">
        <f t="shared" si="10"/>
        <v>50365.406929895245</v>
      </c>
      <c r="S12" s="74">
        <f t="shared" si="11"/>
        <v>5.596156325543916</v>
      </c>
      <c r="U12" s="71" t="str">
        <f>IF(B12&gt;'Peajes Circular CNMC'!$C$23,'Peajes Circular CNMC'!$B$23,IF(B12&gt;'Peajes Circular CNMC'!$C$22,'Peajes Circular CNMC'!$B$22,IF(B12&gt;'Peajes Circular CNMC'!$C$21,'Peajes Circular CNMC'!$B$21,IF(B12&gt;'Peajes Circular CNMC'!$C$20,'Peajes Circular CNMC'!$B$20,IF(B12&gt;'Peajes Circular CNMC'!$C$19,'Peajes Circular CNMC'!$B$19,IF(B12&gt;'Peajes Circular CNMC'!$C$18,'Peajes Circular CNMC'!$B$18,IF(B12&gt;'Peajes Circular CNMC'!$C$17,'Peajes Circular CNMC'!$B$17,IF(B12&gt;'Peajes Circular CNMC'!$C$16,'Peajes Circular CNMC'!$B$16,IF(B12&gt;'Peajes Circular CNMC'!$C$15,'Peajes Circular CNMC'!$B$15,IF(B12&gt;'Peajes Circular CNMC'!$C$14,'Peajes Circular CNMC'!$B$14,'Peajes Circular CNMC'!$B$13))))))))))</f>
        <v>D.7</v>
      </c>
      <c r="V12" s="89">
        <f>'Peajes Circular CNMC'!$H$30</f>
        <v>25.224</v>
      </c>
      <c r="W12" s="81">
        <f>'Peajes Circular CNMC'!$I$30</f>
        <v>0.10178</v>
      </c>
      <c r="X12" s="110">
        <f t="shared" si="12"/>
        <v>8780.634971796937</v>
      </c>
      <c r="Y12" s="110">
        <f t="shared" si="13"/>
        <v>916.02</v>
      </c>
      <c r="Z12" s="109">
        <f t="shared" si="14"/>
        <v>9696.6549717969374</v>
      </c>
      <c r="AA12" s="81">
        <f>'Peajes Circular CNMC'!$H$35</f>
        <v>0.14737</v>
      </c>
      <c r="AB12" s="109">
        <f t="shared" si="15"/>
        <v>1326.33</v>
      </c>
      <c r="AC12" s="90">
        <f>'Peajes Circular CNMC'!$J$6</f>
        <v>13.922499999999999</v>
      </c>
      <c r="AD12" s="90">
        <f>'Peajes Circular CNMC'!$J$7</f>
        <v>2.5181930000000002E-2</v>
      </c>
      <c r="AE12" s="110">
        <f t="shared" si="16"/>
        <v>4846.510878323932</v>
      </c>
      <c r="AF12" s="110">
        <f t="shared" si="17"/>
        <v>226.63737</v>
      </c>
      <c r="AG12" s="109">
        <f t="shared" si="18"/>
        <v>5073.1482483239324</v>
      </c>
      <c r="AH12" s="90">
        <f>'Peajes Circular CNMC'!$K$6</f>
        <v>8.5966666666666658</v>
      </c>
      <c r="AI12" s="90">
        <f>'Peajes Circular CNMC'!$K$7</f>
        <v>2.5181930000000002E-2</v>
      </c>
      <c r="AJ12" s="110">
        <f t="shared" si="19"/>
        <v>2992.5543916196611</v>
      </c>
      <c r="AK12" s="110">
        <f t="shared" si="20"/>
        <v>226.63737</v>
      </c>
      <c r="AL12" s="109">
        <f t="shared" si="21"/>
        <v>3219.1917616196611</v>
      </c>
      <c r="AM12" s="91">
        <f>VLOOKUP(U12,'Peajes Circular CNMC'!$B$13:$J$23,7,FALSE)</f>
        <v>70.858333333333334</v>
      </c>
      <c r="AN12" s="80">
        <f>VLOOKUP(U12,'Peajes Circular CNMC'!$B$13:$J$23,8,FALSE)</f>
        <v>0</v>
      </c>
      <c r="AO12" s="80">
        <f>VLOOKUP(U12,'Peajes Circular CNMC'!$B$13:$J$23,9,FALSE)</f>
        <v>0.83020000000000005</v>
      </c>
      <c r="AP12" s="110">
        <f t="shared" si="22"/>
        <v>24666.236905721191</v>
      </c>
      <c r="AQ12" s="110">
        <f t="shared" si="23"/>
        <v>0</v>
      </c>
      <c r="AR12" s="110">
        <f t="shared" si="24"/>
        <v>7471.8</v>
      </c>
      <c r="AS12" s="109">
        <f t="shared" si="25"/>
        <v>32138.03690572119</v>
      </c>
      <c r="AT12" s="111">
        <f t="shared" si="26"/>
        <v>51453.361887461724</v>
      </c>
      <c r="AU12" s="74">
        <f t="shared" si="27"/>
        <v>5.7170402097179691</v>
      </c>
      <c r="AW12" s="70">
        <f t="shared" si="28"/>
        <v>0.231937305819786</v>
      </c>
      <c r="AX12" s="92">
        <f t="shared" si="29"/>
        <v>0.3434326894550454</v>
      </c>
      <c r="AY12" s="92">
        <f t="shared" si="30"/>
        <v>-8.680331641752799E-2</v>
      </c>
      <c r="AZ12" s="112">
        <f t="shared" si="0"/>
        <v>1087.9549575664787</v>
      </c>
      <c r="BA12" s="92">
        <f t="shared" si="1"/>
        <v>2.1601234336909615E-2</v>
      </c>
      <c r="BB12" s="179">
        <f t="shared" si="31"/>
        <v>0.12088388417405316</v>
      </c>
    </row>
    <row r="13" spans="2:54">
      <c r="B13" s="97">
        <v>9500</v>
      </c>
      <c r="C13" s="99">
        <f>IF($C$5&lt;&gt;"Memoria CNMC",$C$5,IF(B13&gt;'Tipología Clientes'!$C$16,'Tipología Clientes'!$L$16,IF(B13&gt;'Tipología Clientes'!$C$15,'Tipología Clientes'!$L$15,IF(B13&gt;'Tipología Clientes'!$C$14,'Tipología Clientes'!$L$14,IF(B13&gt;'Tipología Clientes'!$C$13,'Tipología Clientes'!$L$13,IF(B13&gt;'Tipología Clientes'!$C$12,'Tipología Clientes'!$L$12,IF(B13&gt;'Tipología Clientes'!$C$11,'Tipología Clientes'!$L$11,IF(B13&gt;'Tipología Clientes'!$C$10,'Tipología Clientes'!$L$10,IF(B13&gt;'Tipología Clientes'!$C$9,'Tipología Clientes'!$L$9,IF(B13&gt;'Tipología Clientes'!$C$8,'Tipología Clientes'!$L$8,IF(B13&gt;'Tipología Clientes'!$C$7,'Tipología Clientes'!$L$7,'Tipología Clientes'!$L$6)))))))))))</f>
        <v>0.85</v>
      </c>
      <c r="D13" s="100">
        <f t="shared" si="2"/>
        <v>30.620467365028205</v>
      </c>
      <c r="E13" s="71" t="str">
        <f>IF(B13&gt;'Peajes Actuales'!$C$15,'Peajes Actuales'!$B$15,IF(B13&gt;'Peajes Actuales'!$C$14,'Peajes Actuales'!$B$14,IF(B13&gt;'Peajes Actuales'!$C$13,'Peajes Actuales'!$B$13,IF(B13&gt;'Peajes Actuales'!$C$12,'Peajes Actuales'!$B$12,'Peajes Actuales'!$B$11))))</f>
        <v>3.5</v>
      </c>
      <c r="F13" s="81">
        <f>'Peajes Actuales'!$H$29</f>
        <v>19.612000000000002</v>
      </c>
      <c r="G13" s="81">
        <f>'Peajes Actuales'!$I$29</f>
        <v>0.11599999999999999</v>
      </c>
      <c r="H13" s="110">
        <f t="shared" si="3"/>
        <v>7206.343271555198</v>
      </c>
      <c r="I13" s="110">
        <f t="shared" si="4"/>
        <v>1102</v>
      </c>
      <c r="J13" s="109">
        <f t="shared" si="5"/>
        <v>8308.3432715551971</v>
      </c>
      <c r="K13" s="82">
        <f>'Peajes Actuales'!$I$5</f>
        <v>10.848000000000001</v>
      </c>
      <c r="L13" s="109">
        <f t="shared" si="6"/>
        <v>3986.0499597099119</v>
      </c>
      <c r="M13" s="83">
        <f>VLOOKUP(E13,'Peajes Actuales'!$B$15:$J$15,7,FALSE)</f>
        <v>59.258000000000003</v>
      </c>
      <c r="N13" s="83">
        <f>VLOOKUP(E13,'Peajes Actuales'!$B$15:$J$15,9,FALSE)</f>
        <v>2.0099999999999998</v>
      </c>
      <c r="O13" s="110">
        <f t="shared" si="7"/>
        <v>21774.091861402099</v>
      </c>
      <c r="P13" s="110">
        <f t="shared" si="8"/>
        <v>19094.999999999996</v>
      </c>
      <c r="Q13" s="109">
        <f t="shared" si="9"/>
        <v>40869.091861402092</v>
      </c>
      <c r="R13" s="111">
        <f t="shared" si="10"/>
        <v>53163.485092667201</v>
      </c>
      <c r="S13" s="74">
        <f t="shared" si="11"/>
        <v>5.596156325543916</v>
      </c>
      <c r="U13" s="71" t="str">
        <f>IF(B13&gt;'Peajes Circular CNMC'!$C$23,'Peajes Circular CNMC'!$B$23,IF(B13&gt;'Peajes Circular CNMC'!$C$22,'Peajes Circular CNMC'!$B$22,IF(B13&gt;'Peajes Circular CNMC'!$C$21,'Peajes Circular CNMC'!$B$21,IF(B13&gt;'Peajes Circular CNMC'!$C$20,'Peajes Circular CNMC'!$B$20,IF(B13&gt;'Peajes Circular CNMC'!$C$19,'Peajes Circular CNMC'!$B$19,IF(B13&gt;'Peajes Circular CNMC'!$C$18,'Peajes Circular CNMC'!$B$18,IF(B13&gt;'Peajes Circular CNMC'!$C$17,'Peajes Circular CNMC'!$B$17,IF(B13&gt;'Peajes Circular CNMC'!$C$16,'Peajes Circular CNMC'!$B$16,IF(B13&gt;'Peajes Circular CNMC'!$C$15,'Peajes Circular CNMC'!$B$15,IF(B13&gt;'Peajes Circular CNMC'!$C$14,'Peajes Circular CNMC'!$B$14,'Peajes Circular CNMC'!$B$13))))))))))</f>
        <v>D.7</v>
      </c>
      <c r="V13" s="89">
        <f>'Peajes Circular CNMC'!$H$30</f>
        <v>25.224</v>
      </c>
      <c r="W13" s="81">
        <f>'Peajes Circular CNMC'!$I$30</f>
        <v>0.10178</v>
      </c>
      <c r="X13" s="110">
        <f t="shared" si="12"/>
        <v>9268.4480257856576</v>
      </c>
      <c r="Y13" s="110">
        <f t="shared" si="13"/>
        <v>966.91</v>
      </c>
      <c r="Z13" s="109">
        <f t="shared" si="14"/>
        <v>10235.358025785657</v>
      </c>
      <c r="AA13" s="81">
        <f>'Peajes Circular CNMC'!$H$35</f>
        <v>0.14737</v>
      </c>
      <c r="AB13" s="109">
        <f t="shared" si="15"/>
        <v>1400.0150000000001</v>
      </c>
      <c r="AC13" s="90">
        <f>'Peajes Circular CNMC'!$J$6</f>
        <v>13.922499999999999</v>
      </c>
      <c r="AD13" s="90">
        <f>'Peajes Circular CNMC'!$J$7</f>
        <v>2.5181930000000002E-2</v>
      </c>
      <c r="AE13" s="110">
        <f t="shared" si="16"/>
        <v>5115.7614826752615</v>
      </c>
      <c r="AF13" s="110">
        <f t="shared" si="17"/>
        <v>239.22833500000002</v>
      </c>
      <c r="AG13" s="109">
        <f t="shared" si="18"/>
        <v>5354.9898176752613</v>
      </c>
      <c r="AH13" s="90">
        <f>'Peajes Circular CNMC'!$K$6</f>
        <v>8.5966666666666658</v>
      </c>
      <c r="AI13" s="90">
        <f>'Peajes Circular CNMC'!$K$7</f>
        <v>2.5181930000000002E-2</v>
      </c>
      <c r="AJ13" s="110">
        <f t="shared" si="19"/>
        <v>3158.8074133763093</v>
      </c>
      <c r="AK13" s="110">
        <f t="shared" si="20"/>
        <v>239.22833500000002</v>
      </c>
      <c r="AL13" s="109">
        <f t="shared" si="21"/>
        <v>3398.0357483763091</v>
      </c>
      <c r="AM13" s="91">
        <f>VLOOKUP(U13,'Peajes Circular CNMC'!$B$13:$J$23,7,FALSE)</f>
        <v>70.858333333333334</v>
      </c>
      <c r="AN13" s="80">
        <f>VLOOKUP(U13,'Peajes Circular CNMC'!$B$13:$J$23,8,FALSE)</f>
        <v>0</v>
      </c>
      <c r="AO13" s="80">
        <f>VLOOKUP(U13,'Peajes Circular CNMC'!$B$13:$J$23,9,FALSE)</f>
        <v>0.83020000000000005</v>
      </c>
      <c r="AP13" s="110">
        <f t="shared" si="22"/>
        <v>26036.58340048348</v>
      </c>
      <c r="AQ13" s="110">
        <f t="shared" si="23"/>
        <v>0</v>
      </c>
      <c r="AR13" s="110">
        <f t="shared" si="24"/>
        <v>7886.9000000000005</v>
      </c>
      <c r="AS13" s="109">
        <f t="shared" si="25"/>
        <v>33923.483400483477</v>
      </c>
      <c r="AT13" s="111">
        <f t="shared" si="26"/>
        <v>54311.881992320705</v>
      </c>
      <c r="AU13" s="74">
        <f t="shared" si="27"/>
        <v>5.7170402097179691</v>
      </c>
      <c r="AW13" s="70">
        <f t="shared" si="28"/>
        <v>0.23193730581978614</v>
      </c>
      <c r="AX13" s="92">
        <f t="shared" si="29"/>
        <v>0.34343268945504513</v>
      </c>
      <c r="AY13" s="92">
        <f t="shared" si="30"/>
        <v>-8.6803316417528073E-2</v>
      </c>
      <c r="AZ13" s="112">
        <f t="shared" si="0"/>
        <v>1148.3968996535041</v>
      </c>
      <c r="BA13" s="92">
        <f t="shared" si="1"/>
        <v>2.1601234336909594E-2</v>
      </c>
      <c r="BB13" s="179">
        <f t="shared" si="31"/>
        <v>0.12088388417405316</v>
      </c>
    </row>
    <row r="14" spans="2:54">
      <c r="B14" s="97">
        <v>10000</v>
      </c>
      <c r="C14" s="99">
        <f>IF($C$5&lt;&gt;"Memoria CNMC",$C$5,IF(B14&gt;'Tipología Clientes'!$C$16,'Tipología Clientes'!$L$16,IF(B14&gt;'Tipología Clientes'!$C$15,'Tipología Clientes'!$L$15,IF(B14&gt;'Tipología Clientes'!$C$14,'Tipología Clientes'!$L$14,IF(B14&gt;'Tipología Clientes'!$C$13,'Tipología Clientes'!$L$13,IF(B14&gt;'Tipología Clientes'!$C$12,'Tipología Clientes'!$L$12,IF(B14&gt;'Tipología Clientes'!$C$11,'Tipología Clientes'!$L$11,IF(B14&gt;'Tipología Clientes'!$C$10,'Tipología Clientes'!$L$10,IF(B14&gt;'Tipología Clientes'!$C$9,'Tipología Clientes'!$L$9,IF(B14&gt;'Tipología Clientes'!$C$8,'Tipología Clientes'!$L$8,IF(B14&gt;'Tipología Clientes'!$C$7,'Tipología Clientes'!$L$7,'Tipología Clientes'!$L$6)))))))))))</f>
        <v>0.85</v>
      </c>
      <c r="D14" s="100">
        <f t="shared" si="2"/>
        <v>32.232070910556004</v>
      </c>
      <c r="E14" s="71" t="str">
        <f>IF(B14&gt;'Peajes Actuales'!$C$15,'Peajes Actuales'!$B$15,IF(B14&gt;'Peajes Actuales'!$C$14,'Peajes Actuales'!$B$14,IF(B14&gt;'Peajes Actuales'!$C$13,'Peajes Actuales'!$B$13,IF(B14&gt;'Peajes Actuales'!$C$12,'Peajes Actuales'!$B$12,'Peajes Actuales'!$B$11))))</f>
        <v>3.5</v>
      </c>
      <c r="F14" s="81">
        <f>'Peajes Actuales'!$H$29</f>
        <v>19.612000000000002</v>
      </c>
      <c r="G14" s="81">
        <f>'Peajes Actuales'!$I$29</f>
        <v>0.11599999999999999</v>
      </c>
      <c r="H14" s="110">
        <f t="shared" si="3"/>
        <v>7585.6244963738936</v>
      </c>
      <c r="I14" s="110">
        <f t="shared" si="4"/>
        <v>1160</v>
      </c>
      <c r="J14" s="109">
        <f t="shared" si="5"/>
        <v>8745.6244963738936</v>
      </c>
      <c r="K14" s="82">
        <f>'Peajes Actuales'!$I$5</f>
        <v>10.848000000000001</v>
      </c>
      <c r="L14" s="109">
        <f t="shared" si="6"/>
        <v>4195.8420628525391</v>
      </c>
      <c r="M14" s="83">
        <f>VLOOKUP(E14,'Peajes Actuales'!$B$15:$J$15,7,FALSE)</f>
        <v>59.258000000000003</v>
      </c>
      <c r="N14" s="83">
        <f>VLOOKUP(E14,'Peajes Actuales'!$B$15:$J$15,9,FALSE)</f>
        <v>2.0099999999999998</v>
      </c>
      <c r="O14" s="110">
        <f t="shared" si="7"/>
        <v>22920.096696212735</v>
      </c>
      <c r="P14" s="110">
        <f t="shared" si="8"/>
        <v>20099.999999999996</v>
      </c>
      <c r="Q14" s="109">
        <f t="shared" si="9"/>
        <v>43020.096696212728</v>
      </c>
      <c r="R14" s="111">
        <f t="shared" si="10"/>
        <v>55961.563255439163</v>
      </c>
      <c r="S14" s="74">
        <f t="shared" si="11"/>
        <v>5.596156325543916</v>
      </c>
      <c r="U14" s="71" t="str">
        <f>IF(B14&gt;'Peajes Circular CNMC'!$C$23,'Peajes Circular CNMC'!$B$23,IF(B14&gt;'Peajes Circular CNMC'!$C$22,'Peajes Circular CNMC'!$B$22,IF(B14&gt;'Peajes Circular CNMC'!$C$21,'Peajes Circular CNMC'!$B$21,IF(B14&gt;'Peajes Circular CNMC'!$C$20,'Peajes Circular CNMC'!$B$20,IF(B14&gt;'Peajes Circular CNMC'!$C$19,'Peajes Circular CNMC'!$B$19,IF(B14&gt;'Peajes Circular CNMC'!$C$18,'Peajes Circular CNMC'!$B$18,IF(B14&gt;'Peajes Circular CNMC'!$C$17,'Peajes Circular CNMC'!$B$17,IF(B14&gt;'Peajes Circular CNMC'!$C$16,'Peajes Circular CNMC'!$B$16,IF(B14&gt;'Peajes Circular CNMC'!$C$15,'Peajes Circular CNMC'!$B$15,IF(B14&gt;'Peajes Circular CNMC'!$C$14,'Peajes Circular CNMC'!$B$14,'Peajes Circular CNMC'!$B$13))))))))))</f>
        <v>D.7</v>
      </c>
      <c r="V14" s="89">
        <f>'Peajes Circular CNMC'!$H$30</f>
        <v>25.224</v>
      </c>
      <c r="W14" s="81">
        <f>'Peajes Circular CNMC'!$I$30</f>
        <v>0.10178</v>
      </c>
      <c r="X14" s="110">
        <f t="shared" si="12"/>
        <v>9756.2610797743746</v>
      </c>
      <c r="Y14" s="110">
        <f t="shared" si="13"/>
        <v>1017.8</v>
      </c>
      <c r="Z14" s="109">
        <f t="shared" si="14"/>
        <v>10774.061079774374</v>
      </c>
      <c r="AA14" s="81">
        <f>'Peajes Circular CNMC'!$H$35</f>
        <v>0.14737</v>
      </c>
      <c r="AB14" s="109">
        <f t="shared" si="15"/>
        <v>1473.7</v>
      </c>
      <c r="AC14" s="90">
        <f>'Peajes Circular CNMC'!$J$6</f>
        <v>13.922499999999999</v>
      </c>
      <c r="AD14" s="90">
        <f>'Peajes Circular CNMC'!$J$7</f>
        <v>2.5181930000000002E-2</v>
      </c>
      <c r="AE14" s="110">
        <f t="shared" si="16"/>
        <v>5385.012087026591</v>
      </c>
      <c r="AF14" s="110">
        <f t="shared" si="17"/>
        <v>251.81930000000003</v>
      </c>
      <c r="AG14" s="109">
        <f t="shared" si="18"/>
        <v>5636.8313870265911</v>
      </c>
      <c r="AH14" s="90">
        <f>'Peajes Circular CNMC'!$K$6</f>
        <v>8.5966666666666658</v>
      </c>
      <c r="AI14" s="90">
        <f>'Peajes Circular CNMC'!$K$7</f>
        <v>2.5181930000000002E-2</v>
      </c>
      <c r="AJ14" s="110">
        <f t="shared" si="19"/>
        <v>3325.0604351329571</v>
      </c>
      <c r="AK14" s="110">
        <f t="shared" si="20"/>
        <v>251.81930000000003</v>
      </c>
      <c r="AL14" s="109">
        <f t="shared" si="21"/>
        <v>3576.8797351329572</v>
      </c>
      <c r="AM14" s="91">
        <f>VLOOKUP(U14,'Peajes Circular CNMC'!$B$13:$J$23,7,FALSE)</f>
        <v>70.858333333333334</v>
      </c>
      <c r="AN14" s="80">
        <f>VLOOKUP(U14,'Peajes Circular CNMC'!$B$13:$J$23,8,FALSE)</f>
        <v>0</v>
      </c>
      <c r="AO14" s="80">
        <f>VLOOKUP(U14,'Peajes Circular CNMC'!$B$13:$J$23,9,FALSE)</f>
        <v>0.83020000000000005</v>
      </c>
      <c r="AP14" s="110">
        <f t="shared" si="22"/>
        <v>27406.929895245768</v>
      </c>
      <c r="AQ14" s="110">
        <f t="shared" si="23"/>
        <v>0</v>
      </c>
      <c r="AR14" s="110">
        <f t="shared" si="24"/>
        <v>8302</v>
      </c>
      <c r="AS14" s="109">
        <f t="shared" si="25"/>
        <v>35708.929895245768</v>
      </c>
      <c r="AT14" s="111">
        <f t="shared" si="26"/>
        <v>57170.402097179685</v>
      </c>
      <c r="AU14" s="74">
        <f t="shared" si="27"/>
        <v>5.7170402097179682</v>
      </c>
      <c r="AW14" s="70">
        <f t="shared" si="28"/>
        <v>0.23193730581978561</v>
      </c>
      <c r="AX14" s="92">
        <f t="shared" si="29"/>
        <v>0.34343268945504513</v>
      </c>
      <c r="AY14" s="92">
        <f t="shared" si="30"/>
        <v>-8.6803316417527976E-2</v>
      </c>
      <c r="AZ14" s="112">
        <f t="shared" si="0"/>
        <v>1208.8388417405222</v>
      </c>
      <c r="BA14" s="92">
        <f t="shared" si="1"/>
        <v>2.1601234336909442E-2</v>
      </c>
      <c r="BB14" s="179">
        <f t="shared" si="31"/>
        <v>0.12088388417405227</v>
      </c>
    </row>
    <row r="15" spans="2:54">
      <c r="B15" s="97">
        <v>12500</v>
      </c>
      <c r="C15" s="99">
        <f>IF($C$5&lt;&gt;"Memoria CNMC",$C$5,IF(B15&gt;'Tipología Clientes'!$C$16,'Tipología Clientes'!$L$16,IF(B15&gt;'Tipología Clientes'!$C$15,'Tipología Clientes'!$L$15,IF(B15&gt;'Tipología Clientes'!$C$14,'Tipología Clientes'!$L$14,IF(B15&gt;'Tipología Clientes'!$C$13,'Tipología Clientes'!$L$13,IF(B15&gt;'Tipología Clientes'!$C$12,'Tipología Clientes'!$L$12,IF(B15&gt;'Tipología Clientes'!$C$11,'Tipología Clientes'!$L$11,IF(B15&gt;'Tipología Clientes'!$C$10,'Tipología Clientes'!$L$10,IF(B15&gt;'Tipología Clientes'!$C$9,'Tipología Clientes'!$L$9,IF(B15&gt;'Tipología Clientes'!$C$8,'Tipología Clientes'!$L$8,IF(B15&gt;'Tipología Clientes'!$C$7,'Tipología Clientes'!$L$7,'Tipología Clientes'!$L$6)))))))))))</f>
        <v>0.85</v>
      </c>
      <c r="D15" s="100">
        <f t="shared" si="2"/>
        <v>40.290088638195009</v>
      </c>
      <c r="E15" s="71" t="str">
        <f>IF(B15&gt;'Peajes Actuales'!$C$15,'Peajes Actuales'!$B$15,IF(B15&gt;'Peajes Actuales'!$C$14,'Peajes Actuales'!$B$14,IF(B15&gt;'Peajes Actuales'!$C$13,'Peajes Actuales'!$B$13,IF(B15&gt;'Peajes Actuales'!$C$12,'Peajes Actuales'!$B$12,'Peajes Actuales'!$B$11))))</f>
        <v>3.5</v>
      </c>
      <c r="F15" s="81">
        <f>'Peajes Actuales'!$H$29</f>
        <v>19.612000000000002</v>
      </c>
      <c r="G15" s="81">
        <f>'Peajes Actuales'!$I$29</f>
        <v>0.11599999999999999</v>
      </c>
      <c r="H15" s="110">
        <f t="shared" si="3"/>
        <v>9482.030620467367</v>
      </c>
      <c r="I15" s="110">
        <f t="shared" si="4"/>
        <v>1450</v>
      </c>
      <c r="J15" s="109">
        <f t="shared" si="5"/>
        <v>10932.030620467367</v>
      </c>
      <c r="K15" s="82">
        <f>'Peajes Actuales'!$I$5</f>
        <v>10.848000000000001</v>
      </c>
      <c r="L15" s="109">
        <f t="shared" si="6"/>
        <v>5244.8025785656737</v>
      </c>
      <c r="M15" s="83">
        <f>VLOOKUP(E15,'Peajes Actuales'!$B$15:$J$15,7,FALSE)</f>
        <v>59.258000000000003</v>
      </c>
      <c r="N15" s="83">
        <f>VLOOKUP(E15,'Peajes Actuales'!$B$15:$J$15,9,FALSE)</f>
        <v>2.0099999999999998</v>
      </c>
      <c r="O15" s="110">
        <f t="shared" si="7"/>
        <v>28650.120870265921</v>
      </c>
      <c r="P15" s="110">
        <f t="shared" si="8"/>
        <v>25124.999999999996</v>
      </c>
      <c r="Q15" s="109">
        <f t="shared" si="9"/>
        <v>53775.120870265921</v>
      </c>
      <c r="R15" s="111">
        <f t="shared" si="10"/>
        <v>69951.954069298954</v>
      </c>
      <c r="S15" s="74">
        <f t="shared" si="11"/>
        <v>5.596156325543916</v>
      </c>
      <c r="U15" s="71" t="str">
        <f>IF(B15&gt;'Peajes Circular CNMC'!$C$23,'Peajes Circular CNMC'!$B$23,IF(B15&gt;'Peajes Circular CNMC'!$C$22,'Peajes Circular CNMC'!$B$22,IF(B15&gt;'Peajes Circular CNMC'!$C$21,'Peajes Circular CNMC'!$B$21,IF(B15&gt;'Peajes Circular CNMC'!$C$20,'Peajes Circular CNMC'!$B$20,IF(B15&gt;'Peajes Circular CNMC'!$C$19,'Peajes Circular CNMC'!$B$19,IF(B15&gt;'Peajes Circular CNMC'!$C$18,'Peajes Circular CNMC'!$B$18,IF(B15&gt;'Peajes Circular CNMC'!$C$17,'Peajes Circular CNMC'!$B$17,IF(B15&gt;'Peajes Circular CNMC'!$C$16,'Peajes Circular CNMC'!$B$16,IF(B15&gt;'Peajes Circular CNMC'!$C$15,'Peajes Circular CNMC'!$B$15,IF(B15&gt;'Peajes Circular CNMC'!$C$14,'Peajes Circular CNMC'!$B$14,'Peajes Circular CNMC'!$B$13))))))))))</f>
        <v>D.7</v>
      </c>
      <c r="V15" s="89">
        <f>'Peajes Circular CNMC'!$H$30</f>
        <v>25.224</v>
      </c>
      <c r="W15" s="81">
        <f>'Peajes Circular CNMC'!$I$30</f>
        <v>0.10178</v>
      </c>
      <c r="X15" s="110">
        <f t="shared" si="12"/>
        <v>12195.326349717971</v>
      </c>
      <c r="Y15" s="110">
        <f t="shared" si="13"/>
        <v>1272.25</v>
      </c>
      <c r="Z15" s="109">
        <f t="shared" si="14"/>
        <v>13467.576349717971</v>
      </c>
      <c r="AA15" s="81">
        <f>'Peajes Circular CNMC'!$H$35</f>
        <v>0.14737</v>
      </c>
      <c r="AB15" s="109">
        <f t="shared" si="15"/>
        <v>1842.125</v>
      </c>
      <c r="AC15" s="90">
        <f>'Peajes Circular CNMC'!$J$6</f>
        <v>13.922499999999999</v>
      </c>
      <c r="AD15" s="90">
        <f>'Peajes Circular CNMC'!$J$7</f>
        <v>2.5181930000000002E-2</v>
      </c>
      <c r="AE15" s="110">
        <f t="shared" si="16"/>
        <v>6731.2651087832401</v>
      </c>
      <c r="AF15" s="110">
        <f t="shared" si="17"/>
        <v>314.77412500000003</v>
      </c>
      <c r="AG15" s="109">
        <f t="shared" si="18"/>
        <v>7046.03923378324</v>
      </c>
      <c r="AH15" s="90">
        <f>'Peajes Circular CNMC'!$K$6</f>
        <v>8.5966666666666658</v>
      </c>
      <c r="AI15" s="90">
        <f>'Peajes Circular CNMC'!$K$7</f>
        <v>2.5181930000000002E-2</v>
      </c>
      <c r="AJ15" s="110">
        <f t="shared" si="19"/>
        <v>4156.3255439161967</v>
      </c>
      <c r="AK15" s="110">
        <f t="shared" si="20"/>
        <v>314.77412500000003</v>
      </c>
      <c r="AL15" s="109">
        <f t="shared" si="21"/>
        <v>4471.0996689161966</v>
      </c>
      <c r="AM15" s="91">
        <f>VLOOKUP(U15,'Peajes Circular CNMC'!$B$13:$J$23,7,FALSE)</f>
        <v>70.858333333333334</v>
      </c>
      <c r="AN15" s="80">
        <f>VLOOKUP(U15,'Peajes Circular CNMC'!$B$13:$J$23,8,FALSE)</f>
        <v>0</v>
      </c>
      <c r="AO15" s="80">
        <f>VLOOKUP(U15,'Peajes Circular CNMC'!$B$13:$J$23,9,FALSE)</f>
        <v>0.83020000000000005</v>
      </c>
      <c r="AP15" s="110">
        <f t="shared" si="22"/>
        <v>34258.662369057216</v>
      </c>
      <c r="AQ15" s="110">
        <f t="shared" si="23"/>
        <v>0</v>
      </c>
      <c r="AR15" s="110">
        <f t="shared" si="24"/>
        <v>10377.5</v>
      </c>
      <c r="AS15" s="109">
        <f t="shared" si="25"/>
        <v>44636.162369057216</v>
      </c>
      <c r="AT15" s="111">
        <f t="shared" si="26"/>
        <v>71463.002621474618</v>
      </c>
      <c r="AU15" s="74">
        <f t="shared" si="27"/>
        <v>5.7170402097179691</v>
      </c>
      <c r="AW15" s="70">
        <f t="shared" si="28"/>
        <v>0.23193730581978589</v>
      </c>
      <c r="AX15" s="92">
        <f t="shared" si="29"/>
        <v>0.3434326894550454</v>
      </c>
      <c r="AY15" s="92">
        <f t="shared" si="30"/>
        <v>-8.680331641752799E-2</v>
      </c>
      <c r="AZ15" s="112">
        <f t="shared" si="0"/>
        <v>1511.0485521756636</v>
      </c>
      <c r="BA15" s="92">
        <f t="shared" si="1"/>
        <v>2.1601234336909598E-2</v>
      </c>
      <c r="BB15" s="179">
        <f t="shared" si="31"/>
        <v>0.12088388417405316</v>
      </c>
    </row>
    <row r="16" spans="2:54">
      <c r="B16" s="97">
        <v>15000</v>
      </c>
      <c r="C16" s="99">
        <f>IF($C$5&lt;&gt;"Memoria CNMC",$C$5,IF(B16&gt;'Tipología Clientes'!$C$16,'Tipología Clientes'!$L$16,IF(B16&gt;'Tipología Clientes'!$C$15,'Tipología Clientes'!$L$15,IF(B16&gt;'Tipología Clientes'!$C$14,'Tipología Clientes'!$L$14,IF(B16&gt;'Tipología Clientes'!$C$13,'Tipología Clientes'!$L$13,IF(B16&gt;'Tipología Clientes'!$C$12,'Tipología Clientes'!$L$12,IF(B16&gt;'Tipología Clientes'!$C$11,'Tipología Clientes'!$L$11,IF(B16&gt;'Tipología Clientes'!$C$10,'Tipología Clientes'!$L$10,IF(B16&gt;'Tipología Clientes'!$C$9,'Tipología Clientes'!$L$9,IF(B16&gt;'Tipología Clientes'!$C$8,'Tipología Clientes'!$L$8,IF(B16&gt;'Tipología Clientes'!$C$7,'Tipología Clientes'!$L$7,'Tipología Clientes'!$L$6)))))))))))</f>
        <v>0.85</v>
      </c>
      <c r="D16" s="100">
        <f t="shared" si="2"/>
        <v>48.348106365834006</v>
      </c>
      <c r="E16" s="71" t="str">
        <f>IF(B16&gt;'Peajes Actuales'!$C$15,'Peajes Actuales'!$B$15,IF(B16&gt;'Peajes Actuales'!$C$14,'Peajes Actuales'!$B$14,IF(B16&gt;'Peajes Actuales'!$C$13,'Peajes Actuales'!$B$13,IF(B16&gt;'Peajes Actuales'!$C$12,'Peajes Actuales'!$B$12,'Peajes Actuales'!$B$11))))</f>
        <v>3.5</v>
      </c>
      <c r="F16" s="81">
        <f>'Peajes Actuales'!$H$29</f>
        <v>19.612000000000002</v>
      </c>
      <c r="G16" s="81">
        <f>'Peajes Actuales'!$I$29</f>
        <v>0.11599999999999999</v>
      </c>
      <c r="H16" s="110">
        <f t="shared" si="3"/>
        <v>11378.436744560839</v>
      </c>
      <c r="I16" s="110">
        <f t="shared" si="4"/>
        <v>1739.9999999999998</v>
      </c>
      <c r="J16" s="109">
        <f t="shared" si="5"/>
        <v>13118.436744560839</v>
      </c>
      <c r="K16" s="82">
        <f>'Peajes Actuales'!$I$5</f>
        <v>10.848000000000001</v>
      </c>
      <c r="L16" s="109">
        <f t="shared" si="6"/>
        <v>6293.7630942788082</v>
      </c>
      <c r="M16" s="83">
        <f>VLOOKUP(E16,'Peajes Actuales'!$B$15:$J$15,7,FALSE)</f>
        <v>59.258000000000003</v>
      </c>
      <c r="N16" s="83">
        <f>VLOOKUP(E16,'Peajes Actuales'!$B$15:$J$15,9,FALSE)</f>
        <v>2.0099999999999998</v>
      </c>
      <c r="O16" s="110">
        <f t="shared" si="7"/>
        <v>34380.145044319099</v>
      </c>
      <c r="P16" s="110">
        <f t="shared" si="8"/>
        <v>30149.999999999996</v>
      </c>
      <c r="Q16" s="109">
        <f t="shared" si="9"/>
        <v>64530.145044319099</v>
      </c>
      <c r="R16" s="111">
        <f t="shared" si="10"/>
        <v>83942.344883158745</v>
      </c>
      <c r="S16" s="74">
        <f t="shared" si="11"/>
        <v>5.596156325543916</v>
      </c>
      <c r="U16" s="71" t="str">
        <f>IF(B16&gt;'Peajes Circular CNMC'!$C$23,'Peajes Circular CNMC'!$B$23,IF(B16&gt;'Peajes Circular CNMC'!$C$22,'Peajes Circular CNMC'!$B$22,IF(B16&gt;'Peajes Circular CNMC'!$C$21,'Peajes Circular CNMC'!$B$21,IF(B16&gt;'Peajes Circular CNMC'!$C$20,'Peajes Circular CNMC'!$B$20,IF(B16&gt;'Peajes Circular CNMC'!$C$19,'Peajes Circular CNMC'!$B$19,IF(B16&gt;'Peajes Circular CNMC'!$C$18,'Peajes Circular CNMC'!$B$18,IF(B16&gt;'Peajes Circular CNMC'!$C$17,'Peajes Circular CNMC'!$B$17,IF(B16&gt;'Peajes Circular CNMC'!$C$16,'Peajes Circular CNMC'!$B$16,IF(B16&gt;'Peajes Circular CNMC'!$C$15,'Peajes Circular CNMC'!$B$15,IF(B16&gt;'Peajes Circular CNMC'!$C$14,'Peajes Circular CNMC'!$B$14,'Peajes Circular CNMC'!$B$13))))))))))</f>
        <v>D.7</v>
      </c>
      <c r="V16" s="89">
        <f>'Peajes Circular CNMC'!$H$30</f>
        <v>25.224</v>
      </c>
      <c r="W16" s="81">
        <f>'Peajes Circular CNMC'!$I$30</f>
        <v>0.10178</v>
      </c>
      <c r="X16" s="110">
        <f t="shared" si="12"/>
        <v>14634.391619661563</v>
      </c>
      <c r="Y16" s="110">
        <f t="shared" si="13"/>
        <v>1526.7</v>
      </c>
      <c r="Z16" s="109">
        <f t="shared" si="14"/>
        <v>16161.091619661564</v>
      </c>
      <c r="AA16" s="81">
        <f>'Peajes Circular CNMC'!$H$35</f>
        <v>0.14737</v>
      </c>
      <c r="AB16" s="109">
        <f t="shared" si="15"/>
        <v>2210.5500000000002</v>
      </c>
      <c r="AC16" s="90">
        <f>'Peajes Circular CNMC'!$J$6</f>
        <v>13.922499999999999</v>
      </c>
      <c r="AD16" s="90">
        <f>'Peajes Circular CNMC'!$J$7</f>
        <v>2.5181930000000002E-2</v>
      </c>
      <c r="AE16" s="110">
        <f t="shared" si="16"/>
        <v>8077.5181305398874</v>
      </c>
      <c r="AF16" s="110">
        <f t="shared" si="17"/>
        <v>377.72895</v>
      </c>
      <c r="AG16" s="109">
        <f t="shared" si="18"/>
        <v>8455.247080539888</v>
      </c>
      <c r="AH16" s="90">
        <f>'Peajes Circular CNMC'!$K$6</f>
        <v>8.5966666666666658</v>
      </c>
      <c r="AI16" s="90">
        <f>'Peajes Circular CNMC'!$K$7</f>
        <v>2.5181930000000002E-2</v>
      </c>
      <c r="AJ16" s="110">
        <f t="shared" si="19"/>
        <v>4987.5906526994359</v>
      </c>
      <c r="AK16" s="110">
        <f t="shared" si="20"/>
        <v>377.72895</v>
      </c>
      <c r="AL16" s="109">
        <f t="shared" si="21"/>
        <v>5365.3196026994356</v>
      </c>
      <c r="AM16" s="91">
        <f>VLOOKUP(U16,'Peajes Circular CNMC'!$B$13:$J$23,7,FALSE)</f>
        <v>70.858333333333334</v>
      </c>
      <c r="AN16" s="80">
        <f>VLOOKUP(U16,'Peajes Circular CNMC'!$B$13:$J$23,8,FALSE)</f>
        <v>0</v>
      </c>
      <c r="AO16" s="80">
        <f>VLOOKUP(U16,'Peajes Circular CNMC'!$B$13:$J$23,9,FALSE)</f>
        <v>0.83020000000000005</v>
      </c>
      <c r="AP16" s="110">
        <f t="shared" si="22"/>
        <v>41110.394842868656</v>
      </c>
      <c r="AQ16" s="110">
        <f t="shared" si="23"/>
        <v>0</v>
      </c>
      <c r="AR16" s="110">
        <f t="shared" si="24"/>
        <v>12453</v>
      </c>
      <c r="AS16" s="109">
        <f t="shared" si="25"/>
        <v>53563.394842868656</v>
      </c>
      <c r="AT16" s="111">
        <f t="shared" si="26"/>
        <v>85755.603145769535</v>
      </c>
      <c r="AU16" s="74">
        <f t="shared" si="27"/>
        <v>5.7170402097179691</v>
      </c>
      <c r="AW16" s="70">
        <f t="shared" si="28"/>
        <v>0.23193730581978597</v>
      </c>
      <c r="AX16" s="92">
        <f t="shared" si="29"/>
        <v>0.3434326894550454</v>
      </c>
      <c r="AY16" s="92">
        <f t="shared" si="30"/>
        <v>-8.6803316417528031E-2</v>
      </c>
      <c r="AZ16" s="112">
        <f t="shared" si="0"/>
        <v>1813.2582626107906</v>
      </c>
      <c r="BA16" s="92">
        <f t="shared" si="1"/>
        <v>2.1601234336909528E-2</v>
      </c>
      <c r="BB16" s="179">
        <f t="shared" si="31"/>
        <v>0.12088388417405316</v>
      </c>
    </row>
    <row r="17" spans="2:54">
      <c r="B17" s="97">
        <v>15614</v>
      </c>
      <c r="C17" s="99">
        <f>IF($C$5&lt;&gt;"Memoria CNMC",$C$5,IF(B17&gt;'Tipología Clientes'!$C$16,'Tipología Clientes'!$L$16,IF(B17&gt;'Tipología Clientes'!$C$15,'Tipología Clientes'!$L$15,IF(B17&gt;'Tipología Clientes'!$C$14,'Tipología Clientes'!$L$14,IF(B17&gt;'Tipología Clientes'!$C$13,'Tipología Clientes'!$L$13,IF(B17&gt;'Tipología Clientes'!$C$12,'Tipología Clientes'!$L$12,IF(B17&gt;'Tipología Clientes'!$C$11,'Tipología Clientes'!$L$11,IF(B17&gt;'Tipología Clientes'!$C$10,'Tipología Clientes'!$L$10,IF(B17&gt;'Tipología Clientes'!$C$9,'Tipología Clientes'!$L$9,IF(B17&gt;'Tipología Clientes'!$C$8,'Tipología Clientes'!$L$8,IF(B17&gt;'Tipología Clientes'!$C$7,'Tipología Clientes'!$L$7,'Tipología Clientes'!$L$6)))))))))))</f>
        <v>0.85</v>
      </c>
      <c r="D17" s="100">
        <f t="shared" ref="D17" si="32">B17/365/C17</f>
        <v>50.327155519742149</v>
      </c>
      <c r="E17" s="71" t="str">
        <f>IF(B17&gt;'Peajes Actuales'!$C$15,'Peajes Actuales'!$B$15,IF(B17&gt;'Peajes Actuales'!$C$14,'Peajes Actuales'!$B$14,IF(B17&gt;'Peajes Actuales'!$C$13,'Peajes Actuales'!$B$13,IF(B17&gt;'Peajes Actuales'!$C$12,'Peajes Actuales'!$B$12,'Peajes Actuales'!$B$11))))</f>
        <v>3.5</v>
      </c>
      <c r="F17" s="81">
        <f>'Peajes Actuales'!$H$29</f>
        <v>19.612000000000002</v>
      </c>
      <c r="G17" s="81">
        <f>'Peajes Actuales'!$I$29</f>
        <v>0.11599999999999999</v>
      </c>
      <c r="H17" s="110">
        <f t="shared" ref="H17" si="33">D17*F17*12</f>
        <v>11844.194088638198</v>
      </c>
      <c r="I17" s="110">
        <f t="shared" ref="I17" si="34">B17*G17</f>
        <v>1811.2239999999999</v>
      </c>
      <c r="J17" s="109">
        <f t="shared" ref="J17" si="35">H17+I17</f>
        <v>13655.418088638198</v>
      </c>
      <c r="K17" s="82">
        <f>'Peajes Actuales'!$I$5</f>
        <v>10.848000000000001</v>
      </c>
      <c r="L17" s="109">
        <f t="shared" ref="L17" si="36">12*K17*D17</f>
        <v>6551.3877969379546</v>
      </c>
      <c r="M17" s="83">
        <f>VLOOKUP(E17,'Peajes Actuales'!$B$15:$J$15,7,FALSE)</f>
        <v>59.258000000000003</v>
      </c>
      <c r="N17" s="83">
        <f>VLOOKUP(E17,'Peajes Actuales'!$B$15:$J$15,9,FALSE)</f>
        <v>2.0099999999999998</v>
      </c>
      <c r="O17" s="110">
        <f t="shared" ref="O17" si="37">IF($D$6&lt;=0.3,M17*D17*12,(D17-$D$6*0.5*D17)*M17*12)</f>
        <v>35787.438981466563</v>
      </c>
      <c r="P17" s="110">
        <f t="shared" ref="P17" si="38">B17*N17</f>
        <v>31384.139999999996</v>
      </c>
      <c r="Q17" s="109">
        <f t="shared" ref="Q17" si="39">SUM(O17:P17)</f>
        <v>67171.578981466562</v>
      </c>
      <c r="R17" s="111">
        <f t="shared" ref="R17" si="40">J17+L17+Q17</f>
        <v>87378.384867042711</v>
      </c>
      <c r="S17" s="74">
        <f t="shared" ref="S17" si="41">R17/B17</f>
        <v>5.596156325543916</v>
      </c>
      <c r="U17" s="71" t="str">
        <f>IF(B17&gt;'Peajes Circular CNMC'!$C$23,'Peajes Circular CNMC'!$B$23,IF(B17&gt;'Peajes Circular CNMC'!$C$22,'Peajes Circular CNMC'!$B$22,IF(B17&gt;'Peajes Circular CNMC'!$C$21,'Peajes Circular CNMC'!$B$21,IF(B17&gt;'Peajes Circular CNMC'!$C$20,'Peajes Circular CNMC'!$B$20,IF(B17&gt;'Peajes Circular CNMC'!$C$19,'Peajes Circular CNMC'!$B$19,IF(B17&gt;'Peajes Circular CNMC'!$C$18,'Peajes Circular CNMC'!$B$18,IF(B17&gt;'Peajes Circular CNMC'!$C$17,'Peajes Circular CNMC'!$B$17,IF(B17&gt;'Peajes Circular CNMC'!$C$16,'Peajes Circular CNMC'!$B$16,IF(B17&gt;'Peajes Circular CNMC'!$C$15,'Peajes Circular CNMC'!$B$15,IF(B17&gt;'Peajes Circular CNMC'!$C$14,'Peajes Circular CNMC'!$B$14,'Peajes Circular CNMC'!$B$13))))))))))</f>
        <v>D.8</v>
      </c>
      <c r="V17" s="89">
        <f>'Peajes Circular CNMC'!$H$30</f>
        <v>25.224</v>
      </c>
      <c r="W17" s="81">
        <f>'Peajes Circular CNMC'!$I$30</f>
        <v>0.10178</v>
      </c>
      <c r="X17" s="110">
        <f t="shared" ref="X17" si="42">12*V17*D17</f>
        <v>15233.426049959711</v>
      </c>
      <c r="Y17" s="110">
        <f t="shared" ref="Y17" si="43">W17*B17</f>
        <v>1589.19292</v>
      </c>
      <c r="Z17" s="109">
        <f t="shared" ref="Z17" si="44">X17+Y17</f>
        <v>16822.618969959713</v>
      </c>
      <c r="AA17" s="81">
        <f>'Peajes Circular CNMC'!$H$35</f>
        <v>0.14737</v>
      </c>
      <c r="AB17" s="109">
        <f t="shared" ref="AB17" si="45">B17*AA17</f>
        <v>2301.0351799999999</v>
      </c>
      <c r="AC17" s="90">
        <f>'Peajes Circular CNMC'!$J$6</f>
        <v>13.922499999999999</v>
      </c>
      <c r="AD17" s="90">
        <f>'Peajes Circular CNMC'!$J$7</f>
        <v>2.5181930000000002E-2</v>
      </c>
      <c r="AE17" s="110">
        <f t="shared" ref="AE17" si="46">AC17*12*D17</f>
        <v>8408.1578726833213</v>
      </c>
      <c r="AF17" s="110">
        <f t="shared" ref="AF17" si="47">AD17*B17</f>
        <v>393.19065502000001</v>
      </c>
      <c r="AG17" s="109">
        <f t="shared" ref="AG17" si="48">AE17+AF17</f>
        <v>8801.3485277033215</v>
      </c>
      <c r="AH17" s="90">
        <f>'Peajes Circular CNMC'!$K$6</f>
        <v>8.5966666666666658</v>
      </c>
      <c r="AI17" s="90">
        <f>'Peajes Circular CNMC'!$K$7</f>
        <v>2.5181930000000002E-2</v>
      </c>
      <c r="AJ17" s="110">
        <f t="shared" ref="AJ17" si="49">AH17*12*D17</f>
        <v>5191.7493634166003</v>
      </c>
      <c r="AK17" s="110">
        <f t="shared" ref="AK17" si="50">AI17*B17</f>
        <v>393.19065502000001</v>
      </c>
      <c r="AL17" s="109">
        <f t="shared" ref="AL17" si="51">AJ17+AK17</f>
        <v>5584.9400184366004</v>
      </c>
      <c r="AM17" s="91">
        <f>VLOOKUP(U17,'Peajes Circular CNMC'!$B$13:$J$23,7,FALSE)</f>
        <v>34.093333333333334</v>
      </c>
      <c r="AN17" s="80">
        <f>VLOOKUP(U17,'Peajes Circular CNMC'!$B$13:$J$23,8,FALSE)</f>
        <v>0</v>
      </c>
      <c r="AO17" s="80">
        <f>VLOOKUP(U17,'Peajes Circular CNMC'!$B$13:$J$23,9,FALSE)</f>
        <v>0.52300000000000002</v>
      </c>
      <c r="AP17" s="110">
        <f t="shared" ref="AP17" si="52">12*AM17*D17</f>
        <v>20589.845866236908</v>
      </c>
      <c r="AQ17" s="110">
        <f t="shared" ref="AQ17" si="53">12*AN17</f>
        <v>0</v>
      </c>
      <c r="AR17" s="110">
        <f t="shared" ref="AR17" si="54">AO17*B17</f>
        <v>8166.1220000000003</v>
      </c>
      <c r="AS17" s="109">
        <f t="shared" ref="AS17" si="55">AP17+AQ17+AR17</f>
        <v>28755.967866236908</v>
      </c>
      <c r="AT17" s="111">
        <f t="shared" ref="AT17" si="56">Z17+AB17+AG17+AL17+AS17</f>
        <v>62265.910562336547</v>
      </c>
      <c r="AU17" s="74">
        <f t="shared" ref="AU17" si="57">AT17/B17</f>
        <v>3.9878257052860602</v>
      </c>
      <c r="AW17" s="70">
        <f t="shared" ref="AW17" si="58">(Z17-J17)/J17</f>
        <v>0.23193730581978592</v>
      </c>
      <c r="AX17" s="92">
        <f t="shared" ref="AX17" si="59">(AG17-L17)/L17</f>
        <v>0.34343268945504546</v>
      </c>
      <c r="AY17" s="92">
        <f t="shared" ref="AY17" si="60">(AL17+AS17-Q17)/Q17</f>
        <v>-0.48875836469247552</v>
      </c>
      <c r="AZ17" s="112">
        <f t="shared" ref="AZ17" si="61">AT17-R17</f>
        <v>-25112.474304706164</v>
      </c>
      <c r="BA17" s="92">
        <f t="shared" ref="BA17" si="62">AZ17/R17</f>
        <v>-0.28739915876126548</v>
      </c>
      <c r="BB17" s="179">
        <f t="shared" ref="BB17" si="63">AU17-S17</f>
        <v>-1.6083306202578558</v>
      </c>
    </row>
    <row r="18" spans="2:54">
      <c r="B18" s="97">
        <v>17500</v>
      </c>
      <c r="C18" s="99">
        <f>IF($C$5&lt;&gt;"Memoria CNMC",$C$5,IF(B18&gt;'Tipología Clientes'!$C$16,'Tipología Clientes'!$L$16,IF(B18&gt;'Tipología Clientes'!$C$15,'Tipología Clientes'!$L$15,IF(B18&gt;'Tipología Clientes'!$C$14,'Tipología Clientes'!$L$14,IF(B18&gt;'Tipología Clientes'!$C$13,'Tipología Clientes'!$L$13,IF(B18&gt;'Tipología Clientes'!$C$12,'Tipología Clientes'!$L$12,IF(B18&gt;'Tipología Clientes'!$C$11,'Tipología Clientes'!$L$11,IF(B18&gt;'Tipología Clientes'!$C$10,'Tipología Clientes'!$L$10,IF(B18&gt;'Tipología Clientes'!$C$9,'Tipología Clientes'!$L$9,IF(B18&gt;'Tipología Clientes'!$C$8,'Tipología Clientes'!$L$8,IF(B18&gt;'Tipología Clientes'!$C$7,'Tipología Clientes'!$L$7,'Tipología Clientes'!$L$6)))))))))))</f>
        <v>0.85</v>
      </c>
      <c r="D18" s="100">
        <f t="shared" si="2"/>
        <v>56.406124093473011</v>
      </c>
      <c r="E18" s="71" t="str">
        <f>IF(B18&gt;'Peajes Actuales'!$C$15,'Peajes Actuales'!$B$15,IF(B18&gt;'Peajes Actuales'!$C$14,'Peajes Actuales'!$B$14,IF(B18&gt;'Peajes Actuales'!$C$13,'Peajes Actuales'!$B$13,IF(B18&gt;'Peajes Actuales'!$C$12,'Peajes Actuales'!$B$12,'Peajes Actuales'!$B$11))))</f>
        <v>3.5</v>
      </c>
      <c r="F18" s="81">
        <f>'Peajes Actuales'!$H$29</f>
        <v>19.612000000000002</v>
      </c>
      <c r="G18" s="81">
        <f>'Peajes Actuales'!$I$29</f>
        <v>0.11599999999999999</v>
      </c>
      <c r="H18" s="110">
        <f t="shared" si="3"/>
        <v>13274.842868654316</v>
      </c>
      <c r="I18" s="110">
        <f t="shared" si="4"/>
        <v>2029.9999999999998</v>
      </c>
      <c r="J18" s="109">
        <f t="shared" si="5"/>
        <v>15304.842868654316</v>
      </c>
      <c r="K18" s="82">
        <f>'Peajes Actuales'!$I$5</f>
        <v>10.848000000000001</v>
      </c>
      <c r="L18" s="109">
        <f t="shared" si="6"/>
        <v>7342.7236099919437</v>
      </c>
      <c r="M18" s="83">
        <f>VLOOKUP(E18,'Peajes Actuales'!$B$15:$J$15,7,FALSE)</f>
        <v>59.258000000000003</v>
      </c>
      <c r="N18" s="83">
        <f>VLOOKUP(E18,'Peajes Actuales'!$B$15:$J$15,9,FALSE)</f>
        <v>2.0099999999999998</v>
      </c>
      <c r="O18" s="110">
        <f t="shared" si="7"/>
        <v>40110.169218372284</v>
      </c>
      <c r="P18" s="110">
        <f t="shared" si="8"/>
        <v>35174.999999999993</v>
      </c>
      <c r="Q18" s="109">
        <f t="shared" si="9"/>
        <v>75285.169218372277</v>
      </c>
      <c r="R18" s="111">
        <f t="shared" si="10"/>
        <v>97932.735697018536</v>
      </c>
      <c r="S18" s="74">
        <f t="shared" si="11"/>
        <v>5.596156325543916</v>
      </c>
      <c r="U18" s="71" t="str">
        <f>IF(B18&gt;'Peajes Circular CNMC'!$C$23,'Peajes Circular CNMC'!$B$23,IF(B18&gt;'Peajes Circular CNMC'!$C$22,'Peajes Circular CNMC'!$B$22,IF(B18&gt;'Peajes Circular CNMC'!$C$21,'Peajes Circular CNMC'!$B$21,IF(B18&gt;'Peajes Circular CNMC'!$C$20,'Peajes Circular CNMC'!$B$20,IF(B18&gt;'Peajes Circular CNMC'!$C$19,'Peajes Circular CNMC'!$B$19,IF(B18&gt;'Peajes Circular CNMC'!$C$18,'Peajes Circular CNMC'!$B$18,IF(B18&gt;'Peajes Circular CNMC'!$C$17,'Peajes Circular CNMC'!$B$17,IF(B18&gt;'Peajes Circular CNMC'!$C$16,'Peajes Circular CNMC'!$B$16,IF(B18&gt;'Peajes Circular CNMC'!$C$15,'Peajes Circular CNMC'!$B$15,IF(B18&gt;'Peajes Circular CNMC'!$C$14,'Peajes Circular CNMC'!$B$14,'Peajes Circular CNMC'!$B$13))))))))))</f>
        <v>D.8</v>
      </c>
      <c r="V18" s="89">
        <f>'Peajes Circular CNMC'!$H$30</f>
        <v>25.224</v>
      </c>
      <c r="W18" s="81">
        <f>'Peajes Circular CNMC'!$I$30</f>
        <v>0.10178</v>
      </c>
      <c r="X18" s="110">
        <f t="shared" si="12"/>
        <v>17073.456889605157</v>
      </c>
      <c r="Y18" s="110">
        <f t="shared" si="13"/>
        <v>1781.1499999999999</v>
      </c>
      <c r="Z18" s="109">
        <f t="shared" si="14"/>
        <v>18854.606889605158</v>
      </c>
      <c r="AA18" s="81">
        <f>'Peajes Circular CNMC'!$H$35</f>
        <v>0.14737</v>
      </c>
      <c r="AB18" s="109">
        <f t="shared" si="15"/>
        <v>2578.9749999999999</v>
      </c>
      <c r="AC18" s="90">
        <f>'Peajes Circular CNMC'!$J$6</f>
        <v>13.922499999999999</v>
      </c>
      <c r="AD18" s="90">
        <f>'Peajes Circular CNMC'!$J$7</f>
        <v>2.5181930000000002E-2</v>
      </c>
      <c r="AE18" s="110">
        <f t="shared" si="16"/>
        <v>9423.7711522965346</v>
      </c>
      <c r="AF18" s="110">
        <f t="shared" si="17"/>
        <v>440.68377500000003</v>
      </c>
      <c r="AG18" s="109">
        <f t="shared" si="18"/>
        <v>9864.4549272965342</v>
      </c>
      <c r="AH18" s="90">
        <f>'Peajes Circular CNMC'!$K$6</f>
        <v>8.5966666666666658</v>
      </c>
      <c r="AI18" s="90">
        <f>'Peajes Circular CNMC'!$K$7</f>
        <v>2.5181930000000002E-2</v>
      </c>
      <c r="AJ18" s="110">
        <f t="shared" si="19"/>
        <v>5818.8557614826759</v>
      </c>
      <c r="AK18" s="110">
        <f t="shared" si="20"/>
        <v>440.68377500000003</v>
      </c>
      <c r="AL18" s="109">
        <f t="shared" si="21"/>
        <v>6259.5395364826763</v>
      </c>
      <c r="AM18" s="91">
        <f>VLOOKUP(U18,'Peajes Circular CNMC'!$B$13:$J$23,7,FALSE)</f>
        <v>34.093333333333334</v>
      </c>
      <c r="AN18" s="80">
        <f>VLOOKUP(U18,'Peajes Circular CNMC'!$B$13:$J$23,8,FALSE)</f>
        <v>0</v>
      </c>
      <c r="AO18" s="80">
        <f>VLOOKUP(U18,'Peajes Circular CNMC'!$B$13:$J$23,9,FALSE)</f>
        <v>0.52300000000000002</v>
      </c>
      <c r="AP18" s="110">
        <f t="shared" si="22"/>
        <v>23076.873489121677</v>
      </c>
      <c r="AQ18" s="110">
        <f t="shared" si="23"/>
        <v>0</v>
      </c>
      <c r="AR18" s="110">
        <f t="shared" si="24"/>
        <v>9152.5</v>
      </c>
      <c r="AS18" s="109">
        <f t="shared" si="25"/>
        <v>32229.373489121677</v>
      </c>
      <c r="AT18" s="111">
        <f t="shared" si="26"/>
        <v>69786.949842506045</v>
      </c>
      <c r="AU18" s="74">
        <f t="shared" si="27"/>
        <v>3.9878257052860597</v>
      </c>
      <c r="AW18" s="70">
        <f t="shared" si="28"/>
        <v>0.23193730581978572</v>
      </c>
      <c r="AX18" s="92">
        <f t="shared" si="29"/>
        <v>0.34343268945504501</v>
      </c>
      <c r="AY18" s="92">
        <f t="shared" si="30"/>
        <v>-0.48875836469247541</v>
      </c>
      <c r="AZ18" s="112">
        <f t="shared" si="0"/>
        <v>-28145.785854512491</v>
      </c>
      <c r="BA18" s="92">
        <f t="shared" si="1"/>
        <v>-0.28739915876126559</v>
      </c>
      <c r="BB18" s="179">
        <f t="shared" si="31"/>
        <v>-1.6083306202578562</v>
      </c>
    </row>
    <row r="19" spans="2:54">
      <c r="B19" s="97">
        <v>20000</v>
      </c>
      <c r="C19" s="99">
        <f>IF($C$5&lt;&gt;"Memoria CNMC",$C$5,IF(B19&gt;'Tipología Clientes'!$C$16,'Tipología Clientes'!$L$16,IF(B19&gt;'Tipología Clientes'!$C$15,'Tipología Clientes'!$L$15,IF(B19&gt;'Tipología Clientes'!$C$14,'Tipología Clientes'!$L$14,IF(B19&gt;'Tipología Clientes'!$C$13,'Tipología Clientes'!$L$13,IF(B19&gt;'Tipología Clientes'!$C$12,'Tipología Clientes'!$L$12,IF(B19&gt;'Tipología Clientes'!$C$11,'Tipología Clientes'!$L$11,IF(B19&gt;'Tipología Clientes'!$C$10,'Tipología Clientes'!$L$10,IF(B19&gt;'Tipología Clientes'!$C$9,'Tipología Clientes'!$L$9,IF(B19&gt;'Tipología Clientes'!$C$8,'Tipología Clientes'!$L$8,IF(B19&gt;'Tipología Clientes'!$C$7,'Tipología Clientes'!$L$7,'Tipología Clientes'!$L$6)))))))))))</f>
        <v>0.85</v>
      </c>
      <c r="D19" s="100">
        <f t="shared" si="2"/>
        <v>64.464141821112008</v>
      </c>
      <c r="E19" s="71" t="str">
        <f>IF(B19&gt;'Peajes Actuales'!$C$15,'Peajes Actuales'!$B$15,IF(B19&gt;'Peajes Actuales'!$C$14,'Peajes Actuales'!$B$14,IF(B19&gt;'Peajes Actuales'!$C$13,'Peajes Actuales'!$B$13,IF(B19&gt;'Peajes Actuales'!$C$12,'Peajes Actuales'!$B$12,'Peajes Actuales'!$B$11))))</f>
        <v>3.5</v>
      </c>
      <c r="F19" s="81">
        <f>'Peajes Actuales'!$H$29</f>
        <v>19.612000000000002</v>
      </c>
      <c r="G19" s="81">
        <f>'Peajes Actuales'!$I$29</f>
        <v>0.11599999999999999</v>
      </c>
      <c r="H19" s="110">
        <f t="shared" si="3"/>
        <v>15171.248992747787</v>
      </c>
      <c r="I19" s="110">
        <f t="shared" si="4"/>
        <v>2320</v>
      </c>
      <c r="J19" s="109">
        <f t="shared" si="5"/>
        <v>17491.248992747787</v>
      </c>
      <c r="K19" s="82">
        <f>'Peajes Actuales'!$I$5</f>
        <v>10.848000000000001</v>
      </c>
      <c r="L19" s="109">
        <f t="shared" si="6"/>
        <v>8391.6841257050783</v>
      </c>
      <c r="M19" s="83">
        <f>VLOOKUP(E19,'Peajes Actuales'!$B$15:$J$15,7,FALSE)</f>
        <v>59.258000000000003</v>
      </c>
      <c r="N19" s="83">
        <f>VLOOKUP(E19,'Peajes Actuales'!$B$15:$J$15,9,FALSE)</f>
        <v>2.0099999999999998</v>
      </c>
      <c r="O19" s="110">
        <f t="shared" si="7"/>
        <v>45840.19339242547</v>
      </c>
      <c r="P19" s="110">
        <f t="shared" si="8"/>
        <v>40199.999999999993</v>
      </c>
      <c r="Q19" s="109">
        <f t="shared" si="9"/>
        <v>86040.193392425455</v>
      </c>
      <c r="R19" s="111">
        <f t="shared" si="10"/>
        <v>111923.12651087833</v>
      </c>
      <c r="S19" s="74">
        <f t="shared" si="11"/>
        <v>5.596156325543916</v>
      </c>
      <c r="U19" s="71" t="str">
        <f>IF(B19&gt;'Peajes Circular CNMC'!$C$23,'Peajes Circular CNMC'!$B$23,IF(B19&gt;'Peajes Circular CNMC'!$C$22,'Peajes Circular CNMC'!$B$22,IF(B19&gt;'Peajes Circular CNMC'!$C$21,'Peajes Circular CNMC'!$B$21,IF(B19&gt;'Peajes Circular CNMC'!$C$20,'Peajes Circular CNMC'!$B$20,IF(B19&gt;'Peajes Circular CNMC'!$C$19,'Peajes Circular CNMC'!$B$19,IF(B19&gt;'Peajes Circular CNMC'!$C$18,'Peajes Circular CNMC'!$B$18,IF(B19&gt;'Peajes Circular CNMC'!$C$17,'Peajes Circular CNMC'!$B$17,IF(B19&gt;'Peajes Circular CNMC'!$C$16,'Peajes Circular CNMC'!$B$16,IF(B19&gt;'Peajes Circular CNMC'!$C$15,'Peajes Circular CNMC'!$B$15,IF(B19&gt;'Peajes Circular CNMC'!$C$14,'Peajes Circular CNMC'!$B$14,'Peajes Circular CNMC'!$B$13))))))))))</f>
        <v>D.8</v>
      </c>
      <c r="V19" s="89">
        <f>'Peajes Circular CNMC'!$H$30</f>
        <v>25.224</v>
      </c>
      <c r="W19" s="81">
        <f>'Peajes Circular CNMC'!$I$30</f>
        <v>0.10178</v>
      </c>
      <c r="X19" s="110">
        <f t="shared" si="12"/>
        <v>19512.522159548749</v>
      </c>
      <c r="Y19" s="110">
        <f t="shared" si="13"/>
        <v>2035.6</v>
      </c>
      <c r="Z19" s="109">
        <f t="shared" si="14"/>
        <v>21548.122159548748</v>
      </c>
      <c r="AA19" s="81">
        <f>'Peajes Circular CNMC'!$H$35</f>
        <v>0.14737</v>
      </c>
      <c r="AB19" s="109">
        <f t="shared" si="15"/>
        <v>2947.4</v>
      </c>
      <c r="AC19" s="90">
        <f>'Peajes Circular CNMC'!$J$6</f>
        <v>13.922499999999999</v>
      </c>
      <c r="AD19" s="90">
        <f>'Peajes Circular CNMC'!$J$7</f>
        <v>2.5181930000000002E-2</v>
      </c>
      <c r="AE19" s="110">
        <f t="shared" si="16"/>
        <v>10770.024174053182</v>
      </c>
      <c r="AF19" s="110">
        <f t="shared" si="17"/>
        <v>503.63860000000005</v>
      </c>
      <c r="AG19" s="109">
        <f t="shared" si="18"/>
        <v>11273.662774053182</v>
      </c>
      <c r="AH19" s="90">
        <f>'Peajes Circular CNMC'!$K$6</f>
        <v>8.5966666666666658</v>
      </c>
      <c r="AI19" s="90">
        <f>'Peajes Circular CNMC'!$K$7</f>
        <v>2.5181930000000002E-2</v>
      </c>
      <c r="AJ19" s="110">
        <f t="shared" si="19"/>
        <v>6650.1208702659142</v>
      </c>
      <c r="AK19" s="110">
        <f t="shared" si="20"/>
        <v>503.63860000000005</v>
      </c>
      <c r="AL19" s="109">
        <f t="shared" si="21"/>
        <v>7153.7594702659144</v>
      </c>
      <c r="AM19" s="91">
        <f>VLOOKUP(U19,'Peajes Circular CNMC'!$B$13:$J$23,7,FALSE)</f>
        <v>34.093333333333334</v>
      </c>
      <c r="AN19" s="80">
        <f>VLOOKUP(U19,'Peajes Circular CNMC'!$B$13:$J$23,8,FALSE)</f>
        <v>0</v>
      </c>
      <c r="AO19" s="80">
        <f>VLOOKUP(U19,'Peajes Circular CNMC'!$B$13:$J$23,9,FALSE)</f>
        <v>0.52300000000000002</v>
      </c>
      <c r="AP19" s="110">
        <f t="shared" si="22"/>
        <v>26373.569701853346</v>
      </c>
      <c r="AQ19" s="110">
        <f t="shared" si="23"/>
        <v>0</v>
      </c>
      <c r="AR19" s="110">
        <f t="shared" si="24"/>
        <v>10460</v>
      </c>
      <c r="AS19" s="109">
        <f t="shared" si="25"/>
        <v>36833.569701853346</v>
      </c>
      <c r="AT19" s="111">
        <f t="shared" si="26"/>
        <v>79756.514105721188</v>
      </c>
      <c r="AU19" s="74">
        <f t="shared" si="27"/>
        <v>3.9878257052860593</v>
      </c>
      <c r="AW19" s="70">
        <f t="shared" si="28"/>
        <v>0.23193730581978561</v>
      </c>
      <c r="AX19" s="92">
        <f t="shared" si="29"/>
        <v>0.34343268945504513</v>
      </c>
      <c r="AY19" s="92">
        <f t="shared" si="30"/>
        <v>-0.48875836469247547</v>
      </c>
      <c r="AZ19" s="112">
        <f t="shared" si="0"/>
        <v>-32166.612405157139</v>
      </c>
      <c r="BA19" s="92">
        <f t="shared" si="1"/>
        <v>-0.28739915876126565</v>
      </c>
      <c r="BB19" s="179">
        <f t="shared" si="31"/>
        <v>-1.6083306202578567</v>
      </c>
    </row>
    <row r="20" spans="2:54">
      <c r="B20" s="97">
        <v>22500</v>
      </c>
      <c r="C20" s="99">
        <f>IF($C$5&lt;&gt;"Memoria CNMC",$C$5,IF(B20&gt;'Tipología Clientes'!$C$16,'Tipología Clientes'!$L$16,IF(B20&gt;'Tipología Clientes'!$C$15,'Tipología Clientes'!$L$15,IF(B20&gt;'Tipología Clientes'!$C$14,'Tipología Clientes'!$L$14,IF(B20&gt;'Tipología Clientes'!$C$13,'Tipología Clientes'!$L$13,IF(B20&gt;'Tipología Clientes'!$C$12,'Tipología Clientes'!$L$12,IF(B20&gt;'Tipología Clientes'!$C$11,'Tipología Clientes'!$L$11,IF(B20&gt;'Tipología Clientes'!$C$10,'Tipología Clientes'!$L$10,IF(B20&gt;'Tipología Clientes'!$C$9,'Tipología Clientes'!$L$9,IF(B20&gt;'Tipología Clientes'!$C$8,'Tipología Clientes'!$L$8,IF(B20&gt;'Tipología Clientes'!$C$7,'Tipología Clientes'!$L$7,'Tipología Clientes'!$L$6)))))))))))</f>
        <v>0.85</v>
      </c>
      <c r="D20" s="100">
        <f t="shared" si="2"/>
        <v>72.522159548751006</v>
      </c>
      <c r="E20" s="71" t="str">
        <f>IF(B20&gt;'Peajes Actuales'!$C$15,'Peajes Actuales'!$B$15,IF(B20&gt;'Peajes Actuales'!$C$14,'Peajes Actuales'!$B$14,IF(B20&gt;'Peajes Actuales'!$C$13,'Peajes Actuales'!$B$13,IF(B20&gt;'Peajes Actuales'!$C$12,'Peajes Actuales'!$B$12,'Peajes Actuales'!$B$11))))</f>
        <v>3.5</v>
      </c>
      <c r="F20" s="81">
        <f>'Peajes Actuales'!$H$29</f>
        <v>19.612000000000002</v>
      </c>
      <c r="G20" s="81">
        <f>'Peajes Actuales'!$I$29</f>
        <v>0.11599999999999999</v>
      </c>
      <c r="H20" s="110">
        <f t="shared" si="3"/>
        <v>17067.655116841259</v>
      </c>
      <c r="I20" s="110">
        <f t="shared" si="4"/>
        <v>2610</v>
      </c>
      <c r="J20" s="109">
        <f t="shared" si="5"/>
        <v>19677.655116841259</v>
      </c>
      <c r="K20" s="82">
        <f>'Peajes Actuales'!$I$5</f>
        <v>10.848000000000001</v>
      </c>
      <c r="L20" s="109">
        <f t="shared" si="6"/>
        <v>9440.6446414182119</v>
      </c>
      <c r="M20" s="83">
        <f>VLOOKUP(E20,'Peajes Actuales'!$B$15:$J$15,7,FALSE)</f>
        <v>59.258000000000003</v>
      </c>
      <c r="N20" s="83">
        <f>VLOOKUP(E20,'Peajes Actuales'!$B$15:$J$15,9,FALSE)</f>
        <v>2.0099999999999998</v>
      </c>
      <c r="O20" s="110">
        <f t="shared" si="7"/>
        <v>51570.217566478648</v>
      </c>
      <c r="P20" s="110">
        <f t="shared" si="8"/>
        <v>45224.999999999993</v>
      </c>
      <c r="Q20" s="109">
        <f t="shared" si="9"/>
        <v>96795.217566478648</v>
      </c>
      <c r="R20" s="111">
        <f t="shared" si="10"/>
        <v>125913.51732473812</v>
      </c>
      <c r="S20" s="74">
        <f t="shared" si="11"/>
        <v>5.596156325543916</v>
      </c>
      <c r="U20" s="71" t="str">
        <f>IF(B20&gt;'Peajes Circular CNMC'!$C$23,'Peajes Circular CNMC'!$B$23,IF(B20&gt;'Peajes Circular CNMC'!$C$22,'Peajes Circular CNMC'!$B$22,IF(B20&gt;'Peajes Circular CNMC'!$C$21,'Peajes Circular CNMC'!$B$21,IF(B20&gt;'Peajes Circular CNMC'!$C$20,'Peajes Circular CNMC'!$B$20,IF(B20&gt;'Peajes Circular CNMC'!$C$19,'Peajes Circular CNMC'!$B$19,IF(B20&gt;'Peajes Circular CNMC'!$C$18,'Peajes Circular CNMC'!$B$18,IF(B20&gt;'Peajes Circular CNMC'!$C$17,'Peajes Circular CNMC'!$B$17,IF(B20&gt;'Peajes Circular CNMC'!$C$16,'Peajes Circular CNMC'!$B$16,IF(B20&gt;'Peajes Circular CNMC'!$C$15,'Peajes Circular CNMC'!$B$15,IF(B20&gt;'Peajes Circular CNMC'!$C$14,'Peajes Circular CNMC'!$B$14,'Peajes Circular CNMC'!$B$13))))))))))</f>
        <v>D.8</v>
      </c>
      <c r="V20" s="89">
        <f>'Peajes Circular CNMC'!$H$30</f>
        <v>25.224</v>
      </c>
      <c r="W20" s="81">
        <f>'Peajes Circular CNMC'!$I$30</f>
        <v>0.10178</v>
      </c>
      <c r="X20" s="110">
        <f t="shared" si="12"/>
        <v>21951.587429492345</v>
      </c>
      <c r="Y20" s="110">
        <f t="shared" si="13"/>
        <v>2290.0499999999997</v>
      </c>
      <c r="Z20" s="109">
        <f t="shared" si="14"/>
        <v>24241.637429492344</v>
      </c>
      <c r="AA20" s="81">
        <f>'Peajes Circular CNMC'!$H$35</f>
        <v>0.14737</v>
      </c>
      <c r="AB20" s="109">
        <f t="shared" si="15"/>
        <v>3315.8249999999998</v>
      </c>
      <c r="AC20" s="90">
        <f>'Peajes Circular CNMC'!$J$6</f>
        <v>13.922499999999999</v>
      </c>
      <c r="AD20" s="90">
        <f>'Peajes Circular CNMC'!$J$7</f>
        <v>2.5181930000000002E-2</v>
      </c>
      <c r="AE20" s="110">
        <f t="shared" si="16"/>
        <v>12116.277195809829</v>
      </c>
      <c r="AF20" s="110">
        <f t="shared" si="17"/>
        <v>566.59342500000002</v>
      </c>
      <c r="AG20" s="109">
        <f t="shared" si="18"/>
        <v>12682.87062080983</v>
      </c>
      <c r="AH20" s="90">
        <f>'Peajes Circular CNMC'!$K$6</f>
        <v>8.5966666666666658</v>
      </c>
      <c r="AI20" s="90">
        <f>'Peajes Circular CNMC'!$K$7</f>
        <v>2.5181930000000002E-2</v>
      </c>
      <c r="AJ20" s="110">
        <f t="shared" si="19"/>
        <v>7481.3859790491533</v>
      </c>
      <c r="AK20" s="110">
        <f t="shared" si="20"/>
        <v>566.59342500000002</v>
      </c>
      <c r="AL20" s="109">
        <f t="shared" si="21"/>
        <v>8047.9794040491533</v>
      </c>
      <c r="AM20" s="91">
        <f>VLOOKUP(U20,'Peajes Circular CNMC'!$B$13:$J$23,7,FALSE)</f>
        <v>34.093333333333334</v>
      </c>
      <c r="AN20" s="80">
        <f>VLOOKUP(U20,'Peajes Circular CNMC'!$B$13:$J$23,8,FALSE)</f>
        <v>0</v>
      </c>
      <c r="AO20" s="80">
        <f>VLOOKUP(U20,'Peajes Circular CNMC'!$B$13:$J$23,9,FALSE)</f>
        <v>0.52300000000000002</v>
      </c>
      <c r="AP20" s="110">
        <f t="shared" si="22"/>
        <v>29670.265914585012</v>
      </c>
      <c r="AQ20" s="110">
        <f t="shared" si="23"/>
        <v>0</v>
      </c>
      <c r="AR20" s="110">
        <f t="shared" si="24"/>
        <v>11767.5</v>
      </c>
      <c r="AS20" s="109">
        <f t="shared" si="25"/>
        <v>41437.765914585012</v>
      </c>
      <c r="AT20" s="111">
        <f>Z20+AB20+AG20+AL20+AS20</f>
        <v>89726.078368936345</v>
      </c>
      <c r="AU20" s="74">
        <f t="shared" si="27"/>
        <v>3.9878257052860597</v>
      </c>
      <c r="AW20" s="70">
        <f t="shared" si="28"/>
        <v>0.23193730581978589</v>
      </c>
      <c r="AX20" s="92">
        <f t="shared" si="29"/>
        <v>0.34343268945504529</v>
      </c>
      <c r="AY20" s="92">
        <f t="shared" si="30"/>
        <v>-0.48875836469247552</v>
      </c>
      <c r="AZ20" s="112">
        <f t="shared" si="0"/>
        <v>-36187.438955801772</v>
      </c>
      <c r="BA20" s="92">
        <f t="shared" si="1"/>
        <v>-0.28739915876126554</v>
      </c>
      <c r="BB20" s="179">
        <f t="shared" si="31"/>
        <v>-1.6083306202578562</v>
      </c>
    </row>
    <row r="21" spans="2:54">
      <c r="B21" s="97">
        <v>25000</v>
      </c>
      <c r="C21" s="99">
        <f>IF($C$5&lt;&gt;"Memoria CNMC",$C$5,IF(B21&gt;'Tipología Clientes'!$C$16,'Tipología Clientes'!$L$16,IF(B21&gt;'Tipología Clientes'!$C$15,'Tipología Clientes'!$L$15,IF(B21&gt;'Tipología Clientes'!$C$14,'Tipología Clientes'!$L$14,IF(B21&gt;'Tipología Clientes'!$C$13,'Tipología Clientes'!$L$13,IF(B21&gt;'Tipología Clientes'!$C$12,'Tipología Clientes'!$L$12,IF(B21&gt;'Tipología Clientes'!$C$11,'Tipología Clientes'!$L$11,IF(B21&gt;'Tipología Clientes'!$C$10,'Tipología Clientes'!$L$10,IF(B21&gt;'Tipología Clientes'!$C$9,'Tipología Clientes'!$L$9,IF(B21&gt;'Tipología Clientes'!$C$8,'Tipología Clientes'!$L$8,IF(B21&gt;'Tipología Clientes'!$C$7,'Tipología Clientes'!$L$7,'Tipología Clientes'!$L$6)))))))))))</f>
        <v>0.85</v>
      </c>
      <c r="D21" s="100">
        <f t="shared" si="2"/>
        <v>80.580177276390017</v>
      </c>
      <c r="E21" s="71" t="str">
        <f>IF(B21&gt;'Peajes Actuales'!$C$15,'Peajes Actuales'!$B$15,IF(B21&gt;'Peajes Actuales'!$C$14,'Peajes Actuales'!$B$14,IF(B21&gt;'Peajes Actuales'!$C$13,'Peajes Actuales'!$B$13,IF(B21&gt;'Peajes Actuales'!$C$12,'Peajes Actuales'!$B$12,'Peajes Actuales'!$B$11))))</f>
        <v>3.5</v>
      </c>
      <c r="F21" s="81">
        <f>'Peajes Actuales'!$H$29</f>
        <v>19.612000000000002</v>
      </c>
      <c r="G21" s="81">
        <f>'Peajes Actuales'!$I$29</f>
        <v>0.11599999999999999</v>
      </c>
      <c r="H21" s="110">
        <f t="shared" si="3"/>
        <v>18964.061240934734</v>
      </c>
      <c r="I21" s="110">
        <f t="shared" si="4"/>
        <v>2900</v>
      </c>
      <c r="J21" s="109">
        <f t="shared" si="5"/>
        <v>21864.061240934734</v>
      </c>
      <c r="K21" s="82">
        <f>'Peajes Actuales'!$I$5</f>
        <v>10.848000000000001</v>
      </c>
      <c r="L21" s="109">
        <f t="shared" si="6"/>
        <v>10489.605157131347</v>
      </c>
      <c r="M21" s="83">
        <f>VLOOKUP(E21,'Peajes Actuales'!$B$15:$J$15,7,FALSE)</f>
        <v>59.258000000000003</v>
      </c>
      <c r="N21" s="83">
        <f>VLOOKUP(E21,'Peajes Actuales'!$B$15:$J$15,9,FALSE)</f>
        <v>2.0099999999999998</v>
      </c>
      <c r="O21" s="110">
        <f t="shared" si="7"/>
        <v>57300.241740531841</v>
      </c>
      <c r="P21" s="110">
        <f t="shared" si="8"/>
        <v>50249.999999999993</v>
      </c>
      <c r="Q21" s="109">
        <f t="shared" si="9"/>
        <v>107550.24174053184</v>
      </c>
      <c r="R21" s="111">
        <f t="shared" si="10"/>
        <v>139903.90813859791</v>
      </c>
      <c r="S21" s="74">
        <f t="shared" si="11"/>
        <v>5.596156325543916</v>
      </c>
      <c r="U21" s="71" t="str">
        <f>IF(B21&gt;'Peajes Circular CNMC'!$C$23,'Peajes Circular CNMC'!$B$23,IF(B21&gt;'Peajes Circular CNMC'!$C$22,'Peajes Circular CNMC'!$B$22,IF(B21&gt;'Peajes Circular CNMC'!$C$21,'Peajes Circular CNMC'!$B$21,IF(B21&gt;'Peajes Circular CNMC'!$C$20,'Peajes Circular CNMC'!$B$20,IF(B21&gt;'Peajes Circular CNMC'!$C$19,'Peajes Circular CNMC'!$B$19,IF(B21&gt;'Peajes Circular CNMC'!$C$18,'Peajes Circular CNMC'!$B$18,IF(B21&gt;'Peajes Circular CNMC'!$C$17,'Peajes Circular CNMC'!$B$17,IF(B21&gt;'Peajes Circular CNMC'!$C$16,'Peajes Circular CNMC'!$B$16,IF(B21&gt;'Peajes Circular CNMC'!$C$15,'Peajes Circular CNMC'!$B$15,IF(B21&gt;'Peajes Circular CNMC'!$C$14,'Peajes Circular CNMC'!$B$14,'Peajes Circular CNMC'!$B$13))))))))))</f>
        <v>D.8</v>
      </c>
      <c r="V21" s="89">
        <f>'Peajes Circular CNMC'!$H$30</f>
        <v>25.224</v>
      </c>
      <c r="W21" s="81">
        <f>'Peajes Circular CNMC'!$I$30</f>
        <v>0.10178</v>
      </c>
      <c r="X21" s="110">
        <f t="shared" si="12"/>
        <v>24390.652699435941</v>
      </c>
      <c r="Y21" s="110">
        <f t="shared" si="13"/>
        <v>2544.5</v>
      </c>
      <c r="Z21" s="109">
        <f t="shared" si="14"/>
        <v>26935.152699435941</v>
      </c>
      <c r="AA21" s="81">
        <f>'Peajes Circular CNMC'!$H$35</f>
        <v>0.14737</v>
      </c>
      <c r="AB21" s="109">
        <f t="shared" si="15"/>
        <v>3684.25</v>
      </c>
      <c r="AC21" s="90">
        <f>'Peajes Circular CNMC'!$J$6</f>
        <v>13.922499999999999</v>
      </c>
      <c r="AD21" s="90">
        <f>'Peajes Circular CNMC'!$J$7</f>
        <v>2.5181930000000002E-2</v>
      </c>
      <c r="AE21" s="110">
        <f t="shared" si="16"/>
        <v>13462.53021756648</v>
      </c>
      <c r="AF21" s="110">
        <f t="shared" si="17"/>
        <v>629.54825000000005</v>
      </c>
      <c r="AG21" s="109">
        <f t="shared" si="18"/>
        <v>14092.07846756648</v>
      </c>
      <c r="AH21" s="90">
        <f>'Peajes Circular CNMC'!$K$6</f>
        <v>8.5966666666666658</v>
      </c>
      <c r="AI21" s="90">
        <f>'Peajes Circular CNMC'!$K$7</f>
        <v>2.5181930000000002E-2</v>
      </c>
      <c r="AJ21" s="110">
        <f t="shared" si="19"/>
        <v>8312.6510878323934</v>
      </c>
      <c r="AK21" s="110">
        <f t="shared" si="20"/>
        <v>629.54825000000005</v>
      </c>
      <c r="AL21" s="109">
        <f t="shared" si="21"/>
        <v>8942.1993378323932</v>
      </c>
      <c r="AM21" s="91">
        <f>VLOOKUP(U21,'Peajes Circular CNMC'!$B$13:$J$23,7,FALSE)</f>
        <v>34.093333333333334</v>
      </c>
      <c r="AN21" s="80">
        <f>VLOOKUP(U21,'Peajes Circular CNMC'!$B$13:$J$23,8,FALSE)</f>
        <v>0</v>
      </c>
      <c r="AO21" s="80">
        <f>VLOOKUP(U21,'Peajes Circular CNMC'!$B$13:$J$23,9,FALSE)</f>
        <v>0.52300000000000002</v>
      </c>
      <c r="AP21" s="110">
        <f t="shared" si="22"/>
        <v>32966.962127316685</v>
      </c>
      <c r="AQ21" s="110">
        <f t="shared" si="23"/>
        <v>0</v>
      </c>
      <c r="AR21" s="110">
        <f t="shared" si="24"/>
        <v>13075</v>
      </c>
      <c r="AS21" s="109">
        <f t="shared" si="25"/>
        <v>46041.962127316685</v>
      </c>
      <c r="AT21" s="111">
        <f t="shared" si="26"/>
        <v>99695.642632151503</v>
      </c>
      <c r="AU21" s="74">
        <f t="shared" si="27"/>
        <v>3.9878257052860602</v>
      </c>
      <c r="AW21" s="70">
        <f t="shared" si="28"/>
        <v>0.23193730581978589</v>
      </c>
      <c r="AX21" s="92">
        <f t="shared" si="29"/>
        <v>0.3434326894550454</v>
      </c>
      <c r="AY21" s="92">
        <f t="shared" si="30"/>
        <v>-0.48875836469247547</v>
      </c>
      <c r="AZ21" s="112">
        <f t="shared" si="0"/>
        <v>-40208.265506446405</v>
      </c>
      <c r="BA21" s="92">
        <f t="shared" si="1"/>
        <v>-0.28739915876126548</v>
      </c>
      <c r="BB21" s="179">
        <f t="shared" si="31"/>
        <v>-1.6083306202578558</v>
      </c>
    </row>
    <row r="22" spans="2:54">
      <c r="B22" s="97">
        <v>27500</v>
      </c>
      <c r="C22" s="99">
        <f>IF($C$5&lt;&gt;"Memoria CNMC",$C$5,IF(B22&gt;'Tipología Clientes'!$C$16,'Tipología Clientes'!$L$16,IF(B22&gt;'Tipología Clientes'!$C$15,'Tipología Clientes'!$L$15,IF(B22&gt;'Tipología Clientes'!$C$14,'Tipología Clientes'!$L$14,IF(B22&gt;'Tipología Clientes'!$C$13,'Tipología Clientes'!$L$13,IF(B22&gt;'Tipología Clientes'!$C$12,'Tipología Clientes'!$L$12,IF(B22&gt;'Tipología Clientes'!$C$11,'Tipología Clientes'!$L$11,IF(B22&gt;'Tipología Clientes'!$C$10,'Tipología Clientes'!$L$10,IF(B22&gt;'Tipología Clientes'!$C$9,'Tipología Clientes'!$L$9,IF(B22&gt;'Tipología Clientes'!$C$8,'Tipología Clientes'!$L$8,IF(B22&gt;'Tipología Clientes'!$C$7,'Tipología Clientes'!$L$7,'Tipología Clientes'!$L$6)))))))))))</f>
        <v>0.85</v>
      </c>
      <c r="D22" s="100">
        <f t="shared" si="2"/>
        <v>88.638195004029015</v>
      </c>
      <c r="E22" s="71" t="str">
        <f>IF(B22&gt;'Peajes Actuales'!$C$15,'Peajes Actuales'!$B$15,IF(B22&gt;'Peajes Actuales'!$C$14,'Peajes Actuales'!$B$14,IF(B22&gt;'Peajes Actuales'!$C$13,'Peajes Actuales'!$B$13,IF(B22&gt;'Peajes Actuales'!$C$12,'Peajes Actuales'!$B$12,'Peajes Actuales'!$B$11))))</f>
        <v>3.5</v>
      </c>
      <c r="F22" s="81">
        <f>'Peajes Actuales'!$H$29</f>
        <v>19.612000000000002</v>
      </c>
      <c r="G22" s="81">
        <f>'Peajes Actuales'!$I$29</f>
        <v>0.11599999999999999</v>
      </c>
      <c r="H22" s="110">
        <f t="shared" si="3"/>
        <v>20860.467365028206</v>
      </c>
      <c r="I22" s="110">
        <f t="shared" si="4"/>
        <v>3190</v>
      </c>
      <c r="J22" s="109">
        <f t="shared" si="5"/>
        <v>24050.467365028206</v>
      </c>
      <c r="K22" s="82">
        <f>'Peajes Actuales'!$I$5</f>
        <v>10.848000000000001</v>
      </c>
      <c r="L22" s="109">
        <f t="shared" si="6"/>
        <v>11538.565672844483</v>
      </c>
      <c r="M22" s="83">
        <f>VLOOKUP(E22,'Peajes Actuales'!$B$15:$J$15,7,FALSE)</f>
        <v>59.258000000000003</v>
      </c>
      <c r="N22" s="83">
        <f>VLOOKUP(E22,'Peajes Actuales'!$B$15:$J$15,9,FALSE)</f>
        <v>2.0099999999999998</v>
      </c>
      <c r="O22" s="110">
        <f t="shared" si="7"/>
        <v>63030.265914585019</v>
      </c>
      <c r="P22" s="110">
        <f t="shared" si="8"/>
        <v>55274.999999999993</v>
      </c>
      <c r="Q22" s="109">
        <f t="shared" si="9"/>
        <v>118305.265914585</v>
      </c>
      <c r="R22" s="111">
        <f t="shared" si="10"/>
        <v>153894.2989524577</v>
      </c>
      <c r="S22" s="74">
        <f t="shared" si="11"/>
        <v>5.596156325543916</v>
      </c>
      <c r="U22" s="71" t="str">
        <f>IF(B22&gt;'Peajes Circular CNMC'!$C$23,'Peajes Circular CNMC'!$B$23,IF(B22&gt;'Peajes Circular CNMC'!$C$22,'Peajes Circular CNMC'!$B$22,IF(B22&gt;'Peajes Circular CNMC'!$C$21,'Peajes Circular CNMC'!$B$21,IF(B22&gt;'Peajes Circular CNMC'!$C$20,'Peajes Circular CNMC'!$B$20,IF(B22&gt;'Peajes Circular CNMC'!$C$19,'Peajes Circular CNMC'!$B$19,IF(B22&gt;'Peajes Circular CNMC'!$C$18,'Peajes Circular CNMC'!$B$18,IF(B22&gt;'Peajes Circular CNMC'!$C$17,'Peajes Circular CNMC'!$B$17,IF(B22&gt;'Peajes Circular CNMC'!$C$16,'Peajes Circular CNMC'!$B$16,IF(B22&gt;'Peajes Circular CNMC'!$C$15,'Peajes Circular CNMC'!$B$15,IF(B22&gt;'Peajes Circular CNMC'!$C$14,'Peajes Circular CNMC'!$B$14,'Peajes Circular CNMC'!$B$13))))))))))</f>
        <v>D.8</v>
      </c>
      <c r="V22" s="89">
        <f>'Peajes Circular CNMC'!$H$30</f>
        <v>25.224</v>
      </c>
      <c r="W22" s="81">
        <f>'Peajes Circular CNMC'!$I$30</f>
        <v>0.10178</v>
      </c>
      <c r="X22" s="110">
        <f t="shared" si="12"/>
        <v>26829.717969379533</v>
      </c>
      <c r="Y22" s="110">
        <f t="shared" si="13"/>
        <v>2798.95</v>
      </c>
      <c r="Z22" s="109">
        <f t="shared" si="14"/>
        <v>29628.667969379534</v>
      </c>
      <c r="AA22" s="81">
        <f>'Peajes Circular CNMC'!$H$35</f>
        <v>0.14737</v>
      </c>
      <c r="AB22" s="109">
        <f t="shared" si="15"/>
        <v>4052.6750000000002</v>
      </c>
      <c r="AC22" s="90">
        <f>'Peajes Circular CNMC'!$J$6</f>
        <v>13.922499999999999</v>
      </c>
      <c r="AD22" s="90">
        <f>'Peajes Circular CNMC'!$J$7</f>
        <v>2.5181930000000002E-2</v>
      </c>
      <c r="AE22" s="110">
        <f t="shared" si="16"/>
        <v>14808.783239323127</v>
      </c>
      <c r="AF22" s="110">
        <f t="shared" si="17"/>
        <v>692.50307500000008</v>
      </c>
      <c r="AG22" s="109">
        <f t="shared" si="18"/>
        <v>15501.286314323128</v>
      </c>
      <c r="AH22" s="90">
        <f>'Peajes Circular CNMC'!$K$6</f>
        <v>8.5966666666666658</v>
      </c>
      <c r="AI22" s="90">
        <f>'Peajes Circular CNMC'!$K$7</f>
        <v>2.5181930000000002E-2</v>
      </c>
      <c r="AJ22" s="110">
        <f t="shared" si="19"/>
        <v>9143.9161966156335</v>
      </c>
      <c r="AK22" s="110">
        <f t="shared" si="20"/>
        <v>692.50307500000008</v>
      </c>
      <c r="AL22" s="109">
        <f t="shared" si="21"/>
        <v>9836.419271615634</v>
      </c>
      <c r="AM22" s="91">
        <f>VLOOKUP(U22,'Peajes Circular CNMC'!$B$13:$J$23,7,FALSE)</f>
        <v>34.093333333333334</v>
      </c>
      <c r="AN22" s="80">
        <f>VLOOKUP(U22,'Peajes Circular CNMC'!$B$13:$J$23,8,FALSE)</f>
        <v>0</v>
      </c>
      <c r="AO22" s="80">
        <f>VLOOKUP(U22,'Peajes Circular CNMC'!$B$13:$J$23,9,FALSE)</f>
        <v>0.52300000000000002</v>
      </c>
      <c r="AP22" s="110">
        <f t="shared" si="22"/>
        <v>36263.658340048351</v>
      </c>
      <c r="AQ22" s="110">
        <f t="shared" si="23"/>
        <v>0</v>
      </c>
      <c r="AR22" s="110">
        <f t="shared" si="24"/>
        <v>14382.5</v>
      </c>
      <c r="AS22" s="109">
        <f t="shared" si="25"/>
        <v>50646.158340048351</v>
      </c>
      <c r="AT22" s="111">
        <f t="shared" si="26"/>
        <v>109665.20689536665</v>
      </c>
      <c r="AU22" s="74">
        <f t="shared" si="27"/>
        <v>3.9878257052860597</v>
      </c>
      <c r="AW22" s="70">
        <f t="shared" si="28"/>
        <v>0.23193730581978594</v>
      </c>
      <c r="AX22" s="92">
        <f t="shared" si="29"/>
        <v>0.34343268945504529</v>
      </c>
      <c r="AY22" s="92">
        <f t="shared" si="30"/>
        <v>-0.48875836469247547</v>
      </c>
      <c r="AZ22" s="112">
        <f t="shared" si="0"/>
        <v>-44229.092057091053</v>
      </c>
      <c r="BA22" s="92">
        <f t="shared" si="1"/>
        <v>-0.28739915876126554</v>
      </c>
      <c r="BB22" s="179">
        <f t="shared" si="31"/>
        <v>-1.6083306202578562</v>
      </c>
    </row>
    <row r="23" spans="2:54">
      <c r="B23" s="97">
        <v>30000</v>
      </c>
      <c r="C23" s="99">
        <f>IF($C$5&lt;&gt;"Memoria CNMC",$C$5,IF(B23&gt;'Tipología Clientes'!$C$16,'Tipología Clientes'!$L$16,IF(B23&gt;'Tipología Clientes'!$C$15,'Tipología Clientes'!$L$15,IF(B23&gt;'Tipología Clientes'!$C$14,'Tipología Clientes'!$L$14,IF(B23&gt;'Tipología Clientes'!$C$13,'Tipología Clientes'!$L$13,IF(B23&gt;'Tipología Clientes'!$C$12,'Tipología Clientes'!$L$12,IF(B23&gt;'Tipología Clientes'!$C$11,'Tipología Clientes'!$L$11,IF(B23&gt;'Tipología Clientes'!$C$10,'Tipología Clientes'!$L$10,IF(B23&gt;'Tipología Clientes'!$C$9,'Tipología Clientes'!$L$9,IF(B23&gt;'Tipología Clientes'!$C$8,'Tipología Clientes'!$L$8,IF(B23&gt;'Tipología Clientes'!$C$7,'Tipología Clientes'!$L$7,'Tipología Clientes'!$L$6)))))))))))</f>
        <v>0.85</v>
      </c>
      <c r="D23" s="100">
        <f t="shared" si="2"/>
        <v>96.696212731668012</v>
      </c>
      <c r="E23" s="71" t="str">
        <f>IF(B23&gt;'Peajes Actuales'!$C$15,'Peajes Actuales'!$B$15,IF(B23&gt;'Peajes Actuales'!$C$14,'Peajes Actuales'!$B$14,IF(B23&gt;'Peajes Actuales'!$C$13,'Peajes Actuales'!$B$13,IF(B23&gt;'Peajes Actuales'!$C$12,'Peajes Actuales'!$B$12,'Peajes Actuales'!$B$11))))</f>
        <v>3.5</v>
      </c>
      <c r="F23" s="81">
        <f>'Peajes Actuales'!$H$29</f>
        <v>19.612000000000002</v>
      </c>
      <c r="G23" s="81">
        <f>'Peajes Actuales'!$I$29</f>
        <v>0.11599999999999999</v>
      </c>
      <c r="H23" s="110">
        <f t="shared" si="3"/>
        <v>22756.873489121677</v>
      </c>
      <c r="I23" s="110">
        <f t="shared" si="4"/>
        <v>3479.9999999999995</v>
      </c>
      <c r="J23" s="109">
        <f t="shared" si="5"/>
        <v>26236.873489121677</v>
      </c>
      <c r="K23" s="82">
        <f>'Peajes Actuales'!$I$5</f>
        <v>10.848000000000001</v>
      </c>
      <c r="L23" s="109">
        <f t="shared" si="6"/>
        <v>12587.526188557616</v>
      </c>
      <c r="M23" s="83">
        <f>VLOOKUP(E23,'Peajes Actuales'!$B$15:$J$15,7,FALSE)</f>
        <v>59.258000000000003</v>
      </c>
      <c r="N23" s="83">
        <f>VLOOKUP(E23,'Peajes Actuales'!$B$15:$J$15,9,FALSE)</f>
        <v>2.0099999999999998</v>
      </c>
      <c r="O23" s="110">
        <f t="shared" si="7"/>
        <v>68760.290088638198</v>
      </c>
      <c r="P23" s="110">
        <f t="shared" si="8"/>
        <v>60299.999999999993</v>
      </c>
      <c r="Q23" s="109">
        <f t="shared" si="9"/>
        <v>129060.2900886382</v>
      </c>
      <c r="R23" s="111">
        <f t="shared" si="10"/>
        <v>167884.68976631749</v>
      </c>
      <c r="S23" s="74">
        <f t="shared" si="11"/>
        <v>5.596156325543916</v>
      </c>
      <c r="U23" s="71" t="str">
        <f>IF(B23&gt;'Peajes Circular CNMC'!$C$23,'Peajes Circular CNMC'!$B$23,IF(B23&gt;'Peajes Circular CNMC'!$C$22,'Peajes Circular CNMC'!$B$22,IF(B23&gt;'Peajes Circular CNMC'!$C$21,'Peajes Circular CNMC'!$B$21,IF(B23&gt;'Peajes Circular CNMC'!$C$20,'Peajes Circular CNMC'!$B$20,IF(B23&gt;'Peajes Circular CNMC'!$C$19,'Peajes Circular CNMC'!$B$19,IF(B23&gt;'Peajes Circular CNMC'!$C$18,'Peajes Circular CNMC'!$B$18,IF(B23&gt;'Peajes Circular CNMC'!$C$17,'Peajes Circular CNMC'!$B$17,IF(B23&gt;'Peajes Circular CNMC'!$C$16,'Peajes Circular CNMC'!$B$16,IF(B23&gt;'Peajes Circular CNMC'!$C$15,'Peajes Circular CNMC'!$B$15,IF(B23&gt;'Peajes Circular CNMC'!$C$14,'Peajes Circular CNMC'!$B$14,'Peajes Circular CNMC'!$B$13))))))))))</f>
        <v>D.8</v>
      </c>
      <c r="V23" s="89">
        <f>'Peajes Circular CNMC'!$H$30</f>
        <v>25.224</v>
      </c>
      <c r="W23" s="81">
        <f>'Peajes Circular CNMC'!$I$30</f>
        <v>0.10178</v>
      </c>
      <c r="X23" s="110">
        <f t="shared" si="12"/>
        <v>29268.783239323126</v>
      </c>
      <c r="Y23" s="110">
        <f t="shared" si="13"/>
        <v>3053.4</v>
      </c>
      <c r="Z23" s="109">
        <f t="shared" si="14"/>
        <v>32322.183239323127</v>
      </c>
      <c r="AA23" s="81">
        <f>'Peajes Circular CNMC'!$H$35</f>
        <v>0.14737</v>
      </c>
      <c r="AB23" s="109">
        <f t="shared" si="15"/>
        <v>4421.1000000000004</v>
      </c>
      <c r="AC23" s="90">
        <f>'Peajes Circular CNMC'!$J$6</f>
        <v>13.922499999999999</v>
      </c>
      <c r="AD23" s="90">
        <f>'Peajes Circular CNMC'!$J$7</f>
        <v>2.5181930000000002E-2</v>
      </c>
      <c r="AE23" s="110">
        <f t="shared" si="16"/>
        <v>16155.036261079775</v>
      </c>
      <c r="AF23" s="110">
        <f t="shared" si="17"/>
        <v>755.4579</v>
      </c>
      <c r="AG23" s="109">
        <f t="shared" si="18"/>
        <v>16910.494161079776</v>
      </c>
      <c r="AH23" s="90">
        <f>'Peajes Circular CNMC'!$K$6</f>
        <v>8.5966666666666658</v>
      </c>
      <c r="AI23" s="90">
        <f>'Peajes Circular CNMC'!$K$7</f>
        <v>2.5181930000000002E-2</v>
      </c>
      <c r="AJ23" s="110">
        <f t="shared" si="19"/>
        <v>9975.1813053988717</v>
      </c>
      <c r="AK23" s="110">
        <f t="shared" si="20"/>
        <v>755.4579</v>
      </c>
      <c r="AL23" s="109">
        <f t="shared" si="21"/>
        <v>10730.639205398871</v>
      </c>
      <c r="AM23" s="91">
        <f>VLOOKUP(U23,'Peajes Circular CNMC'!$B$13:$J$23,7,FALSE)</f>
        <v>34.093333333333334</v>
      </c>
      <c r="AN23" s="80">
        <f>VLOOKUP(U23,'Peajes Circular CNMC'!$B$13:$J$23,8,FALSE)</f>
        <v>0</v>
      </c>
      <c r="AO23" s="80">
        <f>VLOOKUP(U23,'Peajes Circular CNMC'!$B$13:$J$23,9,FALSE)</f>
        <v>0.52300000000000002</v>
      </c>
      <c r="AP23" s="110">
        <f t="shared" si="22"/>
        <v>39560.354552780016</v>
      </c>
      <c r="AQ23" s="110">
        <f t="shared" si="23"/>
        <v>0</v>
      </c>
      <c r="AR23" s="110">
        <f t="shared" si="24"/>
        <v>15690</v>
      </c>
      <c r="AS23" s="109">
        <f t="shared" si="25"/>
        <v>55250.354552780016</v>
      </c>
      <c r="AT23" s="111">
        <f t="shared" si="26"/>
        <v>119634.77115858179</v>
      </c>
      <c r="AU23" s="74">
        <f t="shared" si="27"/>
        <v>3.9878257052860597</v>
      </c>
      <c r="AW23" s="70">
        <f t="shared" si="28"/>
        <v>0.23193730581978597</v>
      </c>
      <c r="AX23" s="92">
        <f t="shared" si="29"/>
        <v>0.3434326894550454</v>
      </c>
      <c r="AY23" s="92">
        <f t="shared" si="30"/>
        <v>-0.48875836469247552</v>
      </c>
      <c r="AZ23" s="112">
        <f t="shared" si="0"/>
        <v>-48249.918607735701</v>
      </c>
      <c r="BA23" s="92">
        <f t="shared" si="1"/>
        <v>-0.28739915876126559</v>
      </c>
      <c r="BB23" s="179">
        <f t="shared" si="31"/>
        <v>-1.6083306202578562</v>
      </c>
    </row>
  </sheetData>
  <customSheetViews>
    <customSheetView guid="{96C67CFB-CE46-46EB-8800-9D77F2045444}" scale="80" showGridLines="0" fitToPage="1" hiddenColumns="1">
      <pane ySplit="6" topLeftCell="A40" activePane="bottomLeft" state="frozen"/>
      <selection pane="bottomLeft" activeCell="AE33" sqref="AE33"/>
      <pageMargins left="0.70866141732283472" right="0.70866141732283472" top="0.74803149606299213" bottom="0.74803149606299213" header="0.31496062992125984" footer="0.31496062992125984"/>
      <pageSetup paperSize="8" scale="67" orientation="landscape" r:id="rId1"/>
      <headerFooter>
        <oddHeader>&amp;L&amp;F&amp;R&amp;A</oddHeader>
        <oddFooter>&amp;R&amp;Z&amp;F</oddFooter>
      </headerFooter>
    </customSheetView>
    <customSheetView guid="{DE30ACA8-1284-4798-8E7A-589852EF3C29}" scale="80" showGridLines="0" fitToPage="1" hiddenColumns="1">
      <pane ySplit="6" topLeftCell="A40" activePane="bottomLeft" state="frozen"/>
      <selection pane="bottomLeft" activeCell="AE33" sqref="AE33"/>
      <pageMargins left="0.70866141732283472" right="0.70866141732283472" top="0.74803149606299213" bottom="0.74803149606299213" header="0.31496062992125984" footer="0.31496062992125984"/>
      <pageSetup paperSize="8" scale="67" orientation="landscape" r:id="rId2"/>
      <headerFooter>
        <oddHeader>&amp;L&amp;F&amp;R&amp;A</oddHeader>
        <oddFooter>&amp;R&amp;Z&amp;F</oddFooter>
      </headerFooter>
    </customSheetView>
  </customSheetViews>
  <mergeCells count="17">
    <mergeCell ref="AZ8:BA8"/>
    <mergeCell ref="B6:C6"/>
    <mergeCell ref="AM7:AS7"/>
    <mergeCell ref="AT7:AU7"/>
    <mergeCell ref="R8:S8"/>
    <mergeCell ref="AT8:AU8"/>
    <mergeCell ref="C5:D5"/>
    <mergeCell ref="F6:S6"/>
    <mergeCell ref="V6:AU6"/>
    <mergeCell ref="F7:J7"/>
    <mergeCell ref="K7:L7"/>
    <mergeCell ref="M7:Q7"/>
    <mergeCell ref="R7:S7"/>
    <mergeCell ref="V7:Z7"/>
    <mergeCell ref="AC7:AG7"/>
    <mergeCell ref="AH7:AL7"/>
    <mergeCell ref="AA7:AB7"/>
  </mergeCells>
  <conditionalFormatting sqref="AZ10:AZ23">
    <cfRule type="cellIs" dxfId="19" priority="8" operator="greaterThan">
      <formula>0</formula>
    </cfRule>
  </conditionalFormatting>
  <conditionalFormatting sqref="BA10:BA23">
    <cfRule type="cellIs" dxfId="18" priority="7" operator="greaterThan">
      <formula>0</formula>
    </cfRule>
  </conditionalFormatting>
  <conditionalFormatting sqref="AZ10:AZ23">
    <cfRule type="cellIs" dxfId="17" priority="6" operator="lessThan">
      <formula>0</formula>
    </cfRule>
  </conditionalFormatting>
  <conditionalFormatting sqref="BA10:BA23">
    <cfRule type="cellIs" dxfId="16" priority="5" operator="lessThan">
      <formula>0</formula>
    </cfRule>
  </conditionalFormatting>
  <conditionalFormatting sqref="AW10:AY23">
    <cfRule type="cellIs" dxfId="15" priority="4" operator="greaterThan">
      <formula>0</formula>
    </cfRule>
  </conditionalFormatting>
  <conditionalFormatting sqref="AW10:AY23">
    <cfRule type="cellIs" dxfId="14" priority="3" operator="lessThan">
      <formula>0</formula>
    </cfRule>
  </conditionalFormatting>
  <conditionalFormatting sqref="BB10:BB23">
    <cfRule type="cellIs" dxfId="13" priority="2" operator="greaterThan">
      <formula>0</formula>
    </cfRule>
  </conditionalFormatting>
  <conditionalFormatting sqref="BB10:BB23">
    <cfRule type="cellIs" dxfId="12" priority="1" operator="lessThan">
      <formula>0</formula>
    </cfRule>
  </conditionalFormatting>
  <dataValidations count="2">
    <dataValidation type="list" allowBlank="1" showInputMessage="1" showErrorMessage="1" sqref="C5">
      <mc:AlternateContent xmlns:x12ac="http://schemas.microsoft.com/office/spreadsheetml/2011/1/ac" xmlns:mc="http://schemas.openxmlformats.org/markup-compatibility/2006">
        <mc:Choice Requires="x12ac">
          <x12ac:list>Memoria CNMC,"0,80","0,85","0,90"</x12ac:list>
        </mc:Choice>
        <mc:Fallback>
          <formula1>"Memoria CNMC,0,80,0,85,0,90"</formula1>
        </mc:Fallback>
      </mc:AlternateContent>
    </dataValidation>
    <dataValidation type="list" allowBlank="1" showInputMessage="1" showErrorMessage="1" sqref="D6">
      <mc:AlternateContent xmlns:x12ac="http://schemas.microsoft.com/office/spreadsheetml/2011/1/ac" xmlns:mc="http://schemas.openxmlformats.org/markup-compatibility/2006">
        <mc:Choice Requires="x12ac">
          <x12ac:list>0,"0,10","0,15","0,20","0,25","0,30","0,35","0,40","0,45","0,50"</x12ac:list>
        </mc:Choice>
        <mc:Fallback>
          <formula1>"0,0,10,0,15,0,20,0,25,0,30,0,35,0,40,0,45,0,50"</formula1>
        </mc:Fallback>
      </mc:AlternateContent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landscape" r:id="rId3"/>
  <headerFooter>
    <oddHeader>&amp;LANEXO II: CÁLCULO DEL EFECTO DE LA EVOLUCIÓN DE LOS PEAJES EN EL PERIODO 2020-2026&amp;R&amp;A</oddHead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Tipología Clientes</vt:lpstr>
      <vt:lpstr>Peajes Actuales</vt:lpstr>
      <vt:lpstr>Peajes Circular CNMC</vt:lpstr>
      <vt:lpstr>Promedios Peajes Circular</vt:lpstr>
      <vt:lpstr>Resumen Promedios</vt:lpstr>
      <vt:lpstr>Grupo 2 Promedio</vt:lpstr>
      <vt:lpstr>Grupo 3 Promedio</vt:lpstr>
      <vt:lpstr>Grupo 3 GNL Promedio</vt:lpstr>
      <vt:lpstr>Peaje 3.5</vt:lpstr>
      <vt:lpstr>Peaje 3.5 Nocturno</vt:lpstr>
      <vt:lpstr>PS GNL Monocliente Promedios G2</vt:lpstr>
      <vt:lpstr>'Grupo 3 GNL Promedio'!Área_de_impresión</vt:lpstr>
      <vt:lpstr>'Grupo 3 Promedio'!Área_de_impresión</vt:lpstr>
      <vt:lpstr>'Peaje 3.5 Nocturno'!Área_de_impresión</vt:lpstr>
      <vt:lpstr>'Peajes Actuales'!Área_de_impresión</vt:lpstr>
      <vt:lpstr>'Peajes Circular CNMC'!Área_de_impresión</vt:lpstr>
      <vt:lpstr>'PS GNL Monocliente Promedios G2'!Área_de_impresión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Aguilera Cupido</dc:creator>
  <cp:lastModifiedBy>David Aguilera Cupido</cp:lastModifiedBy>
  <cp:lastPrinted>2019-09-26T20:21:08Z</cp:lastPrinted>
  <dcterms:created xsi:type="dcterms:W3CDTF">2019-08-26T10:54:09Z</dcterms:created>
  <dcterms:modified xsi:type="dcterms:W3CDTF">2019-09-27T07:40:28Z</dcterms:modified>
</cp:coreProperties>
</file>