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 codeName="ThisWorkbook" defaultThemeVersion="124226"/>
  <xr:revisionPtr revIDLastSave="0" documentId="13_ncr:1_{1A30DEBA-D6AE-4FDD-B3C2-2E372F012014}" xr6:coauthVersionLast="36" xr6:coauthVersionMax="36" xr10:uidLastSave="{00000000-0000-0000-0000-000000000000}"/>
  <bookViews>
    <workbookView xWindow="480" yWindow="45" windowWidth="9195" windowHeight="6660" tabRatio="695" xr2:uid="{00000000-000D-0000-FFFF-FFFF00000000}"/>
  </bookViews>
  <sheets>
    <sheet name="I. Datos de entrada" sheetId="1" r:id="rId1"/>
    <sheet name="IIa. Balances de Potencia" sheetId="58" r:id="rId2"/>
    <sheet name="IIb. Balances de energía" sheetId="59" r:id="rId3"/>
    <sheet name="IIIa. Coeficientes Potencia" sheetId="61" r:id="rId4"/>
    <sheet name="IIIb. Coeficientes Energía" sheetId="60" r:id="rId5"/>
    <sheet name="IV. Metodología de asignación" sheetId="62" r:id="rId6"/>
    <sheet name="Va. Peajes transporte" sheetId="64" r:id="rId7"/>
    <sheet name="Vb. Peajes distribución" sheetId="65" r:id="rId8"/>
    <sheet name="VI. Diseño del Peaje 2.0 TD" sheetId="71" r:id="rId9"/>
    <sheet name="VII. Peajes T&amp;D" sheetId="66" r:id="rId10"/>
    <sheet name="VIII. Pagos autoconsumo próximo" sheetId="67" r:id="rId11"/>
    <sheet name="IX. Peajes VE" sheetId="72" r:id="rId12"/>
  </sheets>
  <externalReferences>
    <externalReference r:id="rId13"/>
    <externalReference r:id="rId14"/>
  </externalReferences>
  <definedNames>
    <definedName name="_Ref181078917" localSheetId="3">#REF!</definedName>
    <definedName name="_Ref181078917" localSheetId="7">#REF!</definedName>
    <definedName name="_Ref181078917">#REF!</definedName>
    <definedName name="_xlnm.Print_Area" localSheetId="2">'IIb. Balances de energía'!$A$1:$K$72</definedName>
    <definedName name="Cuotas2" localSheetId="3">'[1]DATOS ADICIONALES (€) - TOTAL'!#REF!</definedName>
    <definedName name="Cuotas2" localSheetId="7">'[1]DATOS ADICIONALES (€) - TOTAL'!#REF!</definedName>
    <definedName name="Cuotas2">'[1]DATOS ADICIONALES (€) - TOTAL'!#REF!</definedName>
    <definedName name="EURO">'[1]DATOS ADICIONALES (€) - TOTAL'!#REF!</definedName>
    <definedName name="gg" localSheetId="3">'[2]DATOS ADICIONALES (€) - TOTAL'!#REF!</definedName>
    <definedName name="gg" localSheetId="7">'[2]DATOS ADICIONALES (€) - TOTAL'!#REF!</definedName>
    <definedName name="gg">'[2]DATOS ADICIONALES (€) - TOTAL'!#REF!</definedName>
    <definedName name="tt" localSheetId="3">#REF!</definedName>
    <definedName name="tt" localSheetId="7">#REF!</definedName>
    <definedName name="tt">#REF!</definedName>
  </definedNames>
  <calcPr calcId="191029"/>
</workbook>
</file>

<file path=xl/calcChain.xml><?xml version="1.0" encoding="utf-8"?>
<calcChain xmlns="http://schemas.openxmlformats.org/spreadsheetml/2006/main">
  <c r="H19" i="62" l="1"/>
  <c r="G19" i="62"/>
  <c r="F19" i="62"/>
  <c r="E19" i="62"/>
  <c r="D19" i="62"/>
  <c r="C49" i="72" l="1"/>
  <c r="C47" i="72"/>
  <c r="C13" i="72"/>
  <c r="C15" i="72"/>
  <c r="B25" i="71" l="1"/>
  <c r="D25" i="71"/>
  <c r="E27" i="71"/>
  <c r="G26" i="71"/>
  <c r="C26" i="71"/>
  <c r="G25" i="71"/>
  <c r="C25" i="71"/>
  <c r="D27" i="71"/>
  <c r="F26" i="71"/>
  <c r="B26" i="71"/>
  <c r="F25" i="71"/>
  <c r="G27" i="71"/>
  <c r="C27" i="71"/>
  <c r="E26" i="71"/>
  <c r="E25" i="71"/>
  <c r="F27" i="71"/>
  <c r="B27" i="71"/>
  <c r="D26" i="71"/>
  <c r="C28" i="71" l="1"/>
  <c r="D28" i="71"/>
  <c r="G28" i="71"/>
  <c r="F28" i="71"/>
  <c r="B28" i="71"/>
  <c r="E28" i="71"/>
  <c r="C83" i="66"/>
  <c r="C31" i="1" l="1"/>
  <c r="C15" i="1" l="1"/>
  <c r="C19" i="1" l="1"/>
  <c r="H85" i="62"/>
  <c r="G85" i="62"/>
  <c r="F85" i="62"/>
  <c r="E85" i="62"/>
  <c r="D85" i="62"/>
  <c r="C85" i="62"/>
  <c r="D65" i="62"/>
  <c r="E65" i="62"/>
  <c r="F65" i="62"/>
  <c r="G65" i="62"/>
  <c r="H65" i="62"/>
  <c r="C65" i="62"/>
  <c r="H22" i="62"/>
  <c r="G22" i="62"/>
  <c r="F22" i="62"/>
  <c r="E22" i="62"/>
  <c r="D22" i="62"/>
  <c r="C30" i="1" l="1"/>
  <c r="C14" i="1"/>
  <c r="D10" i="62" l="1"/>
  <c r="B17" i="58"/>
  <c r="B72" i="59"/>
  <c r="F72" i="59" l="1"/>
  <c r="E11" i="61"/>
  <c r="J12" i="58"/>
  <c r="C61" i="58"/>
  <c r="J57" i="58" s="1"/>
  <c r="C17" i="58"/>
  <c r="D15" i="61"/>
  <c r="E10" i="61"/>
  <c r="D10" i="61"/>
  <c r="F28" i="59"/>
  <c r="J27" i="59" s="1"/>
  <c r="I12" i="60"/>
  <c r="E72" i="59"/>
  <c r="J70" i="59" s="1"/>
  <c r="J23" i="58"/>
  <c r="I72" i="58"/>
  <c r="G61" i="59"/>
  <c r="H57" i="59" s="1"/>
  <c r="I11" i="60"/>
  <c r="H10" i="61"/>
  <c r="I10" i="61"/>
  <c r="H10" i="60"/>
  <c r="I72" i="59"/>
  <c r="F10" i="60"/>
  <c r="G10" i="60"/>
  <c r="D20" i="61"/>
  <c r="E13" i="61"/>
  <c r="D19" i="61"/>
  <c r="F17" i="58"/>
  <c r="J16" i="58" s="1"/>
  <c r="D12" i="61"/>
  <c r="D17" i="58"/>
  <c r="J14" i="58" s="1"/>
  <c r="I17" i="58"/>
  <c r="E19" i="61"/>
  <c r="F28" i="58"/>
  <c r="J27" i="58" s="1"/>
  <c r="C28" i="58"/>
  <c r="J24" i="58" s="1"/>
  <c r="E12" i="61"/>
  <c r="D28" i="58"/>
  <c r="I28" i="58"/>
  <c r="B61" i="58"/>
  <c r="I19" i="61"/>
  <c r="J13" i="58"/>
  <c r="B50" i="59"/>
  <c r="C61" i="59"/>
  <c r="J57" i="59" s="1"/>
  <c r="G72" i="59"/>
  <c r="H67" i="59" s="1"/>
  <c r="C72" i="59"/>
  <c r="J68" i="59" s="1"/>
  <c r="E17" i="58"/>
  <c r="J15" i="58" s="1"/>
  <c r="G28" i="58"/>
  <c r="H25" i="58" s="1"/>
  <c r="H11" i="61"/>
  <c r="E15" i="61"/>
  <c r="J56" i="58"/>
  <c r="F61" i="58"/>
  <c r="J60" i="58" s="1"/>
  <c r="H12" i="61"/>
  <c r="D61" i="58"/>
  <c r="J58" i="58" s="1"/>
  <c r="I61" i="58"/>
  <c r="E72" i="58"/>
  <c r="J70" i="58" s="1"/>
  <c r="F72" i="58"/>
  <c r="J71" i="58" s="1"/>
  <c r="C72" i="58"/>
  <c r="J68" i="58" s="1"/>
  <c r="D72" i="58"/>
  <c r="J69" i="58" s="1"/>
  <c r="F61" i="59"/>
  <c r="J60" i="59" s="1"/>
  <c r="B61" i="59"/>
  <c r="J71" i="59"/>
  <c r="I10" i="60"/>
  <c r="I11" i="61"/>
  <c r="D72" i="59"/>
  <c r="J69" i="59" s="1"/>
  <c r="J25" i="58"/>
  <c r="I15" i="60"/>
  <c r="J67" i="59"/>
  <c r="G72" i="58"/>
  <c r="H70" i="58" s="1"/>
  <c r="F10" i="61"/>
  <c r="J67" i="58"/>
  <c r="I12" i="61"/>
  <c r="I15" i="61"/>
  <c r="H19" i="61"/>
  <c r="E61" i="58"/>
  <c r="J59" i="58" s="1"/>
  <c r="H15" i="61"/>
  <c r="F11" i="61"/>
  <c r="E28" i="58"/>
  <c r="J26" i="58" s="1"/>
  <c r="D11" i="61"/>
  <c r="B28" i="58"/>
  <c r="B72" i="58"/>
  <c r="G17" i="58"/>
  <c r="H13" i="58" s="1"/>
  <c r="G61" i="58"/>
  <c r="H59" i="58" s="1"/>
  <c r="F50" i="59"/>
  <c r="J49" i="59" s="1"/>
  <c r="H15" i="60"/>
  <c r="I61" i="59"/>
  <c r="E10" i="60"/>
  <c r="B28" i="59"/>
  <c r="H12" i="60"/>
  <c r="H19" i="60"/>
  <c r="C50" i="59"/>
  <c r="J46" i="59" s="1"/>
  <c r="G12" i="60"/>
  <c r="E61" i="59"/>
  <c r="J59" i="59" s="1"/>
  <c r="H11" i="60"/>
  <c r="I19" i="60"/>
  <c r="C39" i="59"/>
  <c r="J35" i="59" s="1"/>
  <c r="F11" i="60"/>
  <c r="B39" i="59"/>
  <c r="G50" i="59"/>
  <c r="G11" i="60"/>
  <c r="E39" i="59"/>
  <c r="J37" i="59" s="1"/>
  <c r="I50" i="59"/>
  <c r="E50" i="59"/>
  <c r="J48" i="59" s="1"/>
  <c r="D61" i="59"/>
  <c r="J58" i="59" s="1"/>
  <c r="J56" i="59"/>
  <c r="I39" i="59"/>
  <c r="G15" i="60"/>
  <c r="J45" i="59"/>
  <c r="J34" i="59"/>
  <c r="G39" i="59"/>
  <c r="H38" i="59" s="1"/>
  <c r="F19" i="60"/>
  <c r="G19" i="60"/>
  <c r="E15" i="60"/>
  <c r="G28" i="59"/>
  <c r="H23" i="59" s="1"/>
  <c r="C28" i="59"/>
  <c r="J24" i="59" s="1"/>
  <c r="F39" i="59"/>
  <c r="J38" i="59" s="1"/>
  <c r="F12" i="60"/>
  <c r="F15" i="60"/>
  <c r="D50" i="59"/>
  <c r="J47" i="59" s="1"/>
  <c r="D10" i="60"/>
  <c r="D11" i="60"/>
  <c r="E19" i="60"/>
  <c r="J23" i="59"/>
  <c r="D39" i="59"/>
  <c r="J36" i="59" s="1"/>
  <c r="I28" i="59"/>
  <c r="D28" i="59"/>
  <c r="J25" i="59" s="1"/>
  <c r="E12" i="60"/>
  <c r="E28" i="59"/>
  <c r="J26" i="59" s="1"/>
  <c r="E11" i="60"/>
  <c r="D19" i="60"/>
  <c r="E17" i="59"/>
  <c r="J15" i="59" s="1"/>
  <c r="D15" i="60"/>
  <c r="C17" i="59"/>
  <c r="J13" i="59" s="1"/>
  <c r="D12" i="60"/>
  <c r="B17" i="59"/>
  <c r="F17" i="59"/>
  <c r="J16" i="59" s="1"/>
  <c r="I17" i="59"/>
  <c r="D17" i="59"/>
  <c r="J14" i="59" s="1"/>
  <c r="J12" i="59"/>
  <c r="G17" i="59"/>
  <c r="H15" i="59" s="1"/>
  <c r="D88" i="62" l="1"/>
  <c r="H95" i="62"/>
  <c r="D86" i="62"/>
  <c r="C68" i="62"/>
  <c r="H88" i="62"/>
  <c r="C71" i="62"/>
  <c r="D67" i="62"/>
  <c r="D95" i="62"/>
  <c r="E91" i="62"/>
  <c r="G95" i="62"/>
  <c r="G75" i="62"/>
  <c r="E66" i="62"/>
  <c r="D75" i="62"/>
  <c r="F86" i="62"/>
  <c r="H66" i="62"/>
  <c r="F91" i="62"/>
  <c r="G88" i="62"/>
  <c r="G66" i="62"/>
  <c r="C66" i="62"/>
  <c r="E95" i="62"/>
  <c r="D87" i="62"/>
  <c r="E88" i="62"/>
  <c r="D91" i="62"/>
  <c r="E67" i="62"/>
  <c r="G68" i="62"/>
  <c r="H75" i="62"/>
  <c r="D68" i="62"/>
  <c r="F95" i="62"/>
  <c r="F87" i="62"/>
  <c r="F88" i="62"/>
  <c r="H68" i="62"/>
  <c r="D69" i="62"/>
  <c r="H87" i="62"/>
  <c r="D66" i="62"/>
  <c r="C76" i="62"/>
  <c r="C75" i="62"/>
  <c r="H24" i="58"/>
  <c r="F12" i="61"/>
  <c r="E14" i="61"/>
  <c r="H58" i="59"/>
  <c r="I16" i="61"/>
  <c r="D16" i="61"/>
  <c r="H13" i="61"/>
  <c r="D13" i="61"/>
  <c r="H59" i="59"/>
  <c r="E13" i="60"/>
  <c r="H71" i="58"/>
  <c r="H60" i="59"/>
  <c r="H69" i="59"/>
  <c r="I14" i="60"/>
  <c r="I13" i="61"/>
  <c r="H56" i="59"/>
  <c r="F14" i="60"/>
  <c r="E87" i="62"/>
  <c r="I13" i="60"/>
  <c r="H86" i="62"/>
  <c r="F13" i="60"/>
  <c r="E86" i="62"/>
  <c r="G13" i="60"/>
  <c r="H20" i="60"/>
  <c r="G91" i="62"/>
  <c r="H71" i="59"/>
  <c r="I20" i="60"/>
  <c r="H91" i="62"/>
  <c r="H68" i="59"/>
  <c r="G20" i="60"/>
  <c r="H14" i="60"/>
  <c r="G87" i="62"/>
  <c r="H70" i="59"/>
  <c r="H13" i="60"/>
  <c r="G86" i="62"/>
  <c r="D17" i="61"/>
  <c r="I20" i="61"/>
  <c r="H71" i="62"/>
  <c r="H69" i="58"/>
  <c r="H14" i="61"/>
  <c r="G67" i="62"/>
  <c r="H24" i="59"/>
  <c r="H68" i="58"/>
  <c r="E16" i="61"/>
  <c r="E20" i="61"/>
  <c r="D71" i="62"/>
  <c r="H20" i="61"/>
  <c r="G71" i="62"/>
  <c r="H27" i="59"/>
  <c r="H67" i="58"/>
  <c r="H16" i="61"/>
  <c r="D14" i="61"/>
  <c r="C67" i="62"/>
  <c r="I14" i="61"/>
  <c r="H67" i="62"/>
  <c r="C91" i="62"/>
  <c r="C86" i="62"/>
  <c r="C88" i="62"/>
  <c r="C95" i="62"/>
  <c r="C87" i="62"/>
  <c r="H26" i="58"/>
  <c r="H27" i="58"/>
  <c r="H21" i="61"/>
  <c r="H23" i="58"/>
  <c r="F13" i="61"/>
  <c r="F14" i="61"/>
  <c r="C39" i="58"/>
  <c r="F39" i="58"/>
  <c r="H60" i="58"/>
  <c r="H14" i="58"/>
  <c r="H16" i="58"/>
  <c r="H12" i="58"/>
  <c r="H58" i="58"/>
  <c r="H56" i="58"/>
  <c r="H15" i="58"/>
  <c r="H57" i="58"/>
  <c r="H16" i="60"/>
  <c r="I16" i="60"/>
  <c r="H37" i="59"/>
  <c r="H35" i="59"/>
  <c r="H46" i="59"/>
  <c r="H49" i="59"/>
  <c r="H47" i="59"/>
  <c r="H45" i="59"/>
  <c r="G14" i="60"/>
  <c r="H25" i="59"/>
  <c r="H26" i="59"/>
  <c r="H48" i="59"/>
  <c r="D20" i="60"/>
  <c r="D13" i="60"/>
  <c r="F20" i="60"/>
  <c r="H34" i="59"/>
  <c r="F16" i="60"/>
  <c r="E14" i="60"/>
  <c r="E20" i="60"/>
  <c r="G16" i="60"/>
  <c r="H36" i="59"/>
  <c r="E16" i="60"/>
  <c r="D16" i="60"/>
  <c r="D14" i="60"/>
  <c r="H13" i="59"/>
  <c r="H16" i="59"/>
  <c r="H12" i="59"/>
  <c r="H14" i="59"/>
  <c r="H18" i="61" l="1"/>
  <c r="G70" i="62"/>
  <c r="G96" i="62"/>
  <c r="C69" i="62"/>
  <c r="D96" i="62"/>
  <c r="E96" i="62"/>
  <c r="G77" i="62"/>
  <c r="G72" i="62"/>
  <c r="G76" i="62"/>
  <c r="G90" i="62"/>
  <c r="H96" i="62"/>
  <c r="F89" i="62"/>
  <c r="H89" i="62"/>
  <c r="H69" i="62"/>
  <c r="G69" i="62"/>
  <c r="D70" i="62"/>
  <c r="D90" i="62"/>
  <c r="E70" i="62"/>
  <c r="G89" i="62"/>
  <c r="H70" i="62"/>
  <c r="F96" i="62"/>
  <c r="H90" i="62"/>
  <c r="D89" i="62"/>
  <c r="C72" i="62"/>
  <c r="E68" i="62"/>
  <c r="F90" i="62"/>
  <c r="E69" i="62"/>
  <c r="D76" i="62"/>
  <c r="H76" i="62"/>
  <c r="E89" i="62"/>
  <c r="E90" i="62"/>
  <c r="I21" i="61"/>
  <c r="H72" i="62"/>
  <c r="D21" i="61"/>
  <c r="H17" i="61"/>
  <c r="E17" i="61"/>
  <c r="I17" i="61"/>
  <c r="H72" i="59"/>
  <c r="H61" i="59"/>
  <c r="H72" i="58"/>
  <c r="H28" i="58"/>
  <c r="I18" i="61"/>
  <c r="C70" i="62"/>
  <c r="D18" i="61"/>
  <c r="E18" i="61"/>
  <c r="J38" i="58"/>
  <c r="E21" i="61"/>
  <c r="D72" i="62"/>
  <c r="D22" i="61"/>
  <c r="C73" i="62"/>
  <c r="F92" i="62"/>
  <c r="C92" i="62"/>
  <c r="D92" i="62"/>
  <c r="H17" i="60"/>
  <c r="C89" i="62"/>
  <c r="I21" i="60"/>
  <c r="H92" i="62"/>
  <c r="C90" i="62"/>
  <c r="E92" i="62"/>
  <c r="C96" i="62"/>
  <c r="G92" i="62"/>
  <c r="H28" i="59"/>
  <c r="G18" i="61"/>
  <c r="G10" i="61"/>
  <c r="G15" i="61"/>
  <c r="G17" i="61"/>
  <c r="G16" i="61"/>
  <c r="E50" i="58"/>
  <c r="J48" i="58" s="1"/>
  <c r="F50" i="58"/>
  <c r="B50" i="58"/>
  <c r="G12" i="61"/>
  <c r="C50" i="58"/>
  <c r="J46" i="58" s="1"/>
  <c r="G11" i="61"/>
  <c r="D39" i="58"/>
  <c r="F17" i="61"/>
  <c r="H61" i="58"/>
  <c r="H17" i="58"/>
  <c r="E17" i="60"/>
  <c r="H50" i="59"/>
  <c r="H18" i="60"/>
  <c r="I18" i="60"/>
  <c r="F17" i="60"/>
  <c r="H21" i="60"/>
  <c r="I17" i="60"/>
  <c r="E21" i="60"/>
  <c r="G18" i="60"/>
  <c r="D21" i="60"/>
  <c r="F21" i="60"/>
  <c r="G21" i="60"/>
  <c r="H39" i="59"/>
  <c r="D17" i="60"/>
  <c r="G17" i="60"/>
  <c r="E18" i="60"/>
  <c r="F18" i="60"/>
  <c r="D18" i="60"/>
  <c r="H17" i="59"/>
  <c r="E73" i="62" l="1"/>
  <c r="F68" i="62"/>
  <c r="G74" i="62"/>
  <c r="F73" i="62"/>
  <c r="E22" i="61"/>
  <c r="F71" i="62"/>
  <c r="D77" i="62"/>
  <c r="H22" i="61"/>
  <c r="E22" i="60"/>
  <c r="F72" i="62"/>
  <c r="F74" i="62"/>
  <c r="H23" i="61"/>
  <c r="H73" i="62"/>
  <c r="H77" i="62"/>
  <c r="C78" i="62"/>
  <c r="C77" i="62"/>
  <c r="I22" i="61"/>
  <c r="D73" i="62"/>
  <c r="G73" i="62"/>
  <c r="G14" i="61"/>
  <c r="F67" i="62"/>
  <c r="E23" i="61"/>
  <c r="D74" i="62"/>
  <c r="G13" i="61"/>
  <c r="F66" i="62"/>
  <c r="D23" i="61"/>
  <c r="C74" i="62"/>
  <c r="I23" i="61"/>
  <c r="H74" i="62"/>
  <c r="I23" i="60"/>
  <c r="H94" i="62"/>
  <c r="C93" i="62"/>
  <c r="H23" i="60"/>
  <c r="G94" i="62"/>
  <c r="E94" i="62"/>
  <c r="C97" i="62"/>
  <c r="G97" i="62"/>
  <c r="H22" i="60"/>
  <c r="G93" i="62"/>
  <c r="F93" i="62"/>
  <c r="D97" i="62"/>
  <c r="C94" i="62"/>
  <c r="E97" i="62"/>
  <c r="I22" i="60"/>
  <c r="H93" i="62"/>
  <c r="D94" i="62"/>
  <c r="F97" i="62"/>
  <c r="F94" i="62"/>
  <c r="F22" i="60"/>
  <c r="E93" i="62"/>
  <c r="D93" i="62"/>
  <c r="H97" i="62"/>
  <c r="I50" i="58"/>
  <c r="J45" i="58"/>
  <c r="G20" i="61"/>
  <c r="J49" i="58"/>
  <c r="D50" i="58"/>
  <c r="J47" i="58" s="1"/>
  <c r="G21" i="61"/>
  <c r="G19" i="61"/>
  <c r="G50" i="58"/>
  <c r="H45" i="58" s="1"/>
  <c r="F18" i="61"/>
  <c r="F15" i="61"/>
  <c r="I39" i="58"/>
  <c r="J35" i="58"/>
  <c r="B39" i="58"/>
  <c r="F22" i="61"/>
  <c r="E39" i="58"/>
  <c r="J37" i="58" s="1"/>
  <c r="J36" i="58"/>
  <c r="F16" i="61"/>
  <c r="F19" i="61"/>
  <c r="G39" i="58"/>
  <c r="H34" i="58" s="1"/>
  <c r="J34" i="58"/>
  <c r="D22" i="60"/>
  <c r="G23" i="60"/>
  <c r="D23" i="60"/>
  <c r="E23" i="60"/>
  <c r="G22" i="60"/>
  <c r="F23" i="60"/>
  <c r="D98" i="62" l="1"/>
  <c r="F75" i="62"/>
  <c r="F76" i="62"/>
  <c r="H79" i="62"/>
  <c r="F69" i="62"/>
  <c r="F70" i="62"/>
  <c r="E75" i="62"/>
  <c r="E78" i="62"/>
  <c r="F77" i="62"/>
  <c r="G78" i="62"/>
  <c r="D78" i="62"/>
  <c r="D79" i="62"/>
  <c r="G79" i="62"/>
  <c r="H78" i="62"/>
  <c r="C79" i="62"/>
  <c r="G22" i="61"/>
  <c r="G23" i="61"/>
  <c r="F20" i="61"/>
  <c r="E71" i="62"/>
  <c r="F21" i="61"/>
  <c r="E72" i="62"/>
  <c r="F23" i="61"/>
  <c r="E74" i="62"/>
  <c r="G99" i="62"/>
  <c r="C99" i="62"/>
  <c r="H99" i="62"/>
  <c r="E99" i="62"/>
  <c r="F99" i="62"/>
  <c r="E98" i="62"/>
  <c r="G98" i="62"/>
  <c r="D99" i="62"/>
  <c r="F98" i="62"/>
  <c r="C98" i="62"/>
  <c r="H98" i="62"/>
  <c r="E37" i="62"/>
  <c r="H46" i="58"/>
  <c r="H49" i="58"/>
  <c r="H48" i="58"/>
  <c r="H47" i="58"/>
  <c r="H35" i="58"/>
  <c r="H37" i="58"/>
  <c r="H36" i="58"/>
  <c r="H38" i="58"/>
  <c r="F82" i="1"/>
  <c r="B50" i="62" l="1"/>
  <c r="E79" i="62"/>
  <c r="E76" i="62"/>
  <c r="F79" i="62"/>
  <c r="E77" i="62"/>
  <c r="F78" i="62"/>
  <c r="H50" i="58"/>
  <c r="H39" i="58"/>
  <c r="E11" i="62" l="1"/>
  <c r="E10" i="62" s="1"/>
  <c r="H11" i="62"/>
  <c r="H10" i="62" s="1"/>
  <c r="G11" i="62"/>
  <c r="G10" i="62" s="1"/>
  <c r="F11" i="62"/>
  <c r="F10" i="62" s="1"/>
  <c r="F38" i="62" l="1"/>
  <c r="B34" i="62" l="1"/>
  <c r="B36" i="62" l="1"/>
  <c r="C38" i="62"/>
  <c r="D36" i="62"/>
  <c r="E34" i="62"/>
  <c r="E39" i="62"/>
  <c r="F37" i="62"/>
  <c r="B37" i="62"/>
  <c r="C35" i="62"/>
  <c r="C39" i="62"/>
  <c r="D37" i="62"/>
  <c r="E35" i="62"/>
  <c r="F34" i="62"/>
  <c r="F39" i="62"/>
  <c r="C34" i="62"/>
  <c r="B38" i="62"/>
  <c r="C36" i="62"/>
  <c r="D34" i="62"/>
  <c r="D38" i="62"/>
  <c r="E36" i="62"/>
  <c r="F35" i="62"/>
  <c r="B35" i="62"/>
  <c r="B39" i="62"/>
  <c r="C37" i="62"/>
  <c r="D35" i="62"/>
  <c r="D39" i="62"/>
  <c r="E38" i="62"/>
  <c r="F36" i="62"/>
  <c r="B41" i="62" l="1"/>
  <c r="E41" i="62"/>
  <c r="C41" i="62"/>
  <c r="F41" i="62"/>
  <c r="D41" i="62"/>
  <c r="C59" i="1" l="1"/>
  <c r="D59" i="1" s="1"/>
  <c r="C58" i="1"/>
  <c r="D58" i="1" s="1"/>
  <c r="C57" i="1"/>
  <c r="D57" i="1" s="1"/>
  <c r="C56" i="1"/>
  <c r="D56" i="1" s="1"/>
  <c r="C55" i="1"/>
  <c r="D55" i="1" s="1"/>
  <c r="B47" i="1"/>
  <c r="F55" i="62" l="1"/>
  <c r="F51" i="62"/>
  <c r="E54" i="62"/>
  <c r="E50" i="62"/>
  <c r="D54" i="62"/>
  <c r="D50" i="62"/>
  <c r="C54" i="62"/>
  <c r="C50" i="62"/>
  <c r="B54" i="62"/>
  <c r="F54" i="62"/>
  <c r="F50" i="62"/>
  <c r="E53" i="62"/>
  <c r="D53" i="62"/>
  <c r="C53" i="62"/>
  <c r="B53" i="62"/>
  <c r="F53" i="62"/>
  <c r="E52" i="62"/>
  <c r="D52" i="62"/>
  <c r="C52" i="62"/>
  <c r="B52" i="62"/>
  <c r="F52" i="62"/>
  <c r="E55" i="62"/>
  <c r="E51" i="62"/>
  <c r="D55" i="62"/>
  <c r="D51" i="62"/>
  <c r="C55" i="62"/>
  <c r="C51" i="62"/>
  <c r="B55" i="62"/>
  <c r="B51" i="62"/>
  <c r="F77" i="1"/>
  <c r="D77" i="1"/>
  <c r="B77" i="1"/>
  <c r="C77" i="1"/>
  <c r="E77" i="1"/>
  <c r="C57" i="62" l="1"/>
  <c r="E57" i="62"/>
  <c r="F57" i="62"/>
  <c r="D57" i="62"/>
  <c r="B57" i="62"/>
  <c r="F93" i="1"/>
  <c r="B93" i="1"/>
  <c r="E93" i="1"/>
  <c r="D93" i="1"/>
  <c r="C93" i="1"/>
  <c r="E20" i="62" l="1"/>
  <c r="E23" i="62"/>
  <c r="G20" i="62"/>
  <c r="G23" i="62"/>
  <c r="H23" i="62"/>
  <c r="H20" i="62"/>
  <c r="F20" i="62"/>
  <c r="F23" i="62"/>
  <c r="J52" i="62" l="1"/>
  <c r="J54" i="62"/>
  <c r="J53" i="62"/>
  <c r="J55" i="62"/>
  <c r="J50" i="62"/>
  <c r="J51" i="62"/>
  <c r="I54" i="62"/>
  <c r="I50" i="62"/>
  <c r="I52" i="62"/>
  <c r="I53" i="62"/>
  <c r="I55" i="62"/>
  <c r="I51" i="62"/>
  <c r="I39" i="62"/>
  <c r="I36" i="62"/>
  <c r="I34" i="62"/>
  <c r="I38" i="62"/>
  <c r="I37" i="62"/>
  <c r="I35" i="62"/>
  <c r="J39" i="62"/>
  <c r="J36" i="62"/>
  <c r="J37" i="62"/>
  <c r="J35" i="62"/>
  <c r="J38" i="62"/>
  <c r="J34" i="62"/>
  <c r="H37" i="62"/>
  <c r="M65" i="62" s="1"/>
  <c r="H38" i="62"/>
  <c r="N65" i="62" s="1"/>
  <c r="H36" i="62"/>
  <c r="L65" i="62" s="1"/>
  <c r="H35" i="62"/>
  <c r="K65" i="62" s="1"/>
  <c r="H34" i="62"/>
  <c r="J65" i="62" s="1"/>
  <c r="H39" i="62"/>
  <c r="O65" i="62" s="1"/>
  <c r="K50" i="62"/>
  <c r="K55" i="62"/>
  <c r="K53" i="62"/>
  <c r="K51" i="62"/>
  <c r="K52" i="62"/>
  <c r="K54" i="62"/>
  <c r="H54" i="62"/>
  <c r="N85" i="62" s="1"/>
  <c r="F12" i="67" s="1"/>
  <c r="H51" i="62"/>
  <c r="K85" i="62" s="1"/>
  <c r="C12" i="67" s="1"/>
  <c r="H50" i="62"/>
  <c r="H52" i="62"/>
  <c r="L85" i="62" s="1"/>
  <c r="D12" i="67" s="1"/>
  <c r="H53" i="62"/>
  <c r="M85" i="62" s="1"/>
  <c r="E12" i="67" s="1"/>
  <c r="H55" i="62"/>
  <c r="O85" i="62" s="1"/>
  <c r="G12" i="67" s="1"/>
  <c r="K38" i="62"/>
  <c r="K34" i="62"/>
  <c r="K35" i="62"/>
  <c r="K37" i="62"/>
  <c r="K39" i="62"/>
  <c r="K36" i="62"/>
  <c r="J71" i="62" l="1"/>
  <c r="J74" i="62"/>
  <c r="J73" i="62"/>
  <c r="J72" i="62"/>
  <c r="J70" i="62"/>
  <c r="J69" i="62"/>
  <c r="J68" i="62"/>
  <c r="J67" i="62"/>
  <c r="J66" i="62"/>
  <c r="I41" i="62"/>
  <c r="L72" i="62"/>
  <c r="L74" i="62"/>
  <c r="L73" i="62"/>
  <c r="L71" i="62"/>
  <c r="K41" i="62"/>
  <c r="N91" i="62"/>
  <c r="F15" i="67" s="1"/>
  <c r="N94" i="62"/>
  <c r="N93" i="62"/>
  <c r="N92" i="62"/>
  <c r="O92" i="62"/>
  <c r="O91" i="62"/>
  <c r="G15" i="67" s="1"/>
  <c r="O94" i="62"/>
  <c r="O93" i="62"/>
  <c r="J41" i="62"/>
  <c r="L68" i="62"/>
  <c r="L70" i="62"/>
  <c r="L69" i="62"/>
  <c r="N67" i="62"/>
  <c r="N66" i="62"/>
  <c r="K87" i="62"/>
  <c r="K86" i="62"/>
  <c r="C13" i="67" s="1"/>
  <c r="J87" i="62"/>
  <c r="J86" i="62"/>
  <c r="B13" i="67" s="1"/>
  <c r="I57" i="62"/>
  <c r="O88" i="62"/>
  <c r="G14" i="67" s="1"/>
  <c r="O90" i="62"/>
  <c r="O89" i="62"/>
  <c r="O72" i="62"/>
  <c r="O71" i="62"/>
  <c r="O73" i="62"/>
  <c r="O74" i="62"/>
  <c r="N72" i="62"/>
  <c r="N73" i="62"/>
  <c r="N71" i="62"/>
  <c r="N74" i="62"/>
  <c r="J85" i="62"/>
  <c r="H57" i="62"/>
  <c r="L93" i="62"/>
  <c r="L92" i="62"/>
  <c r="L91" i="62"/>
  <c r="D15" i="67" s="1"/>
  <c r="L94" i="62"/>
  <c r="J91" i="62"/>
  <c r="B15" i="67" s="1"/>
  <c r="J94" i="62"/>
  <c r="J93" i="62"/>
  <c r="J92" i="62"/>
  <c r="K57" i="62"/>
  <c r="N68" i="62"/>
  <c r="N69" i="62"/>
  <c r="N70" i="62"/>
  <c r="O68" i="62"/>
  <c r="O70" i="62"/>
  <c r="O69" i="62"/>
  <c r="O87" i="62"/>
  <c r="O86" i="62"/>
  <c r="G13" i="67" s="1"/>
  <c r="N87" i="62"/>
  <c r="N86" i="62"/>
  <c r="F13" i="67" s="1"/>
  <c r="M90" i="62"/>
  <c r="M89" i="62"/>
  <c r="M88" i="62"/>
  <c r="E14" i="67" s="1"/>
  <c r="M72" i="62"/>
  <c r="M74" i="62"/>
  <c r="M73" i="62"/>
  <c r="M71" i="62"/>
  <c r="K92" i="62"/>
  <c r="K91" i="62"/>
  <c r="C15" i="67" s="1"/>
  <c r="K93" i="62"/>
  <c r="K94" i="62"/>
  <c r="K68" i="62"/>
  <c r="K70" i="62"/>
  <c r="K69" i="62"/>
  <c r="K66" i="62"/>
  <c r="K67" i="62"/>
  <c r="L67" i="62"/>
  <c r="L66" i="62"/>
  <c r="M86" i="62"/>
  <c r="E13" i="67" s="1"/>
  <c r="M87" i="62"/>
  <c r="K88" i="62"/>
  <c r="C14" i="67" s="1"/>
  <c r="K90" i="62"/>
  <c r="K89" i="62"/>
  <c r="N90" i="62"/>
  <c r="N89" i="62"/>
  <c r="N88" i="62"/>
  <c r="F14" i="67" s="1"/>
  <c r="K72" i="62"/>
  <c r="K71" i="62"/>
  <c r="K73" i="62"/>
  <c r="K74" i="62"/>
  <c r="M94" i="62"/>
  <c r="M93" i="62"/>
  <c r="M92" i="62"/>
  <c r="M91" i="62"/>
  <c r="E15" i="67" s="1"/>
  <c r="H41" i="62"/>
  <c r="M68" i="62"/>
  <c r="M69" i="62"/>
  <c r="M70" i="62"/>
  <c r="M66" i="62"/>
  <c r="M67" i="62"/>
  <c r="O66" i="62"/>
  <c r="O67" i="62"/>
  <c r="L87" i="62"/>
  <c r="L86" i="62"/>
  <c r="D13" i="67" s="1"/>
  <c r="J90" i="62"/>
  <c r="J89" i="62"/>
  <c r="J88" i="62"/>
  <c r="B14" i="67" s="1"/>
  <c r="J57" i="62"/>
  <c r="L89" i="62"/>
  <c r="L88" i="62"/>
  <c r="D14" i="67" s="1"/>
  <c r="L90" i="62"/>
  <c r="G13" i="65" l="1"/>
  <c r="C13" i="65"/>
  <c r="I13" i="65"/>
  <c r="B12" i="67"/>
  <c r="F13" i="65"/>
  <c r="M13" i="65"/>
  <c r="B13" i="65"/>
  <c r="E15" i="65"/>
  <c r="C16" i="65"/>
  <c r="K16" i="65"/>
  <c r="D16" i="65"/>
  <c r="L13" i="65"/>
  <c r="E14" i="65"/>
  <c r="L14" i="65"/>
  <c r="N16" i="65"/>
  <c r="K14" i="65"/>
  <c r="M14" i="65"/>
  <c r="N13" i="65"/>
  <c r="I15" i="65"/>
  <c r="L15" i="65"/>
  <c r="F15" i="65"/>
  <c r="I14" i="65"/>
  <c r="F14" i="65"/>
  <c r="B14" i="65"/>
  <c r="B16" i="65"/>
  <c r="K15" i="65"/>
  <c r="L16" i="65"/>
  <c r="M15" i="65"/>
  <c r="D14" i="65"/>
  <c r="N14" i="65"/>
  <c r="G15" i="65"/>
  <c r="I16" i="65"/>
  <c r="F16" i="65"/>
  <c r="M16" i="65"/>
  <c r="E13" i="65"/>
  <c r="J13" i="65"/>
  <c r="D13" i="65"/>
  <c r="K13" i="65"/>
  <c r="C15" i="65"/>
  <c r="C14" i="65"/>
  <c r="E16" i="65"/>
  <c r="D15" i="65"/>
  <c r="G14" i="65"/>
  <c r="J15" i="65"/>
  <c r="J16" i="65"/>
  <c r="G16" i="65"/>
  <c r="N15" i="65"/>
  <c r="J14" i="65"/>
  <c r="B15" i="65"/>
  <c r="N18" i="65" l="1"/>
  <c r="D23" i="62" l="1"/>
  <c r="D20" i="62"/>
  <c r="J10" i="62"/>
  <c r="L37" i="62" l="1"/>
  <c r="J20" i="62"/>
  <c r="J19" i="62" s="1"/>
  <c r="L36" i="62"/>
  <c r="L35" i="62"/>
  <c r="L38" i="62"/>
  <c r="L39" i="62"/>
  <c r="L34" i="62"/>
  <c r="J75" i="62" s="1"/>
  <c r="L50" i="62"/>
  <c r="L52" i="62"/>
  <c r="L51" i="62"/>
  <c r="L53" i="62"/>
  <c r="L55" i="62"/>
  <c r="J23" i="62"/>
  <c r="J22" i="62" s="1"/>
  <c r="L54" i="62"/>
  <c r="J79" i="62" l="1"/>
  <c r="B13" i="64" s="1"/>
  <c r="J78" i="62"/>
  <c r="B14" i="64" s="1"/>
  <c r="J77" i="62"/>
  <c r="B15" i="64" s="1"/>
  <c r="J76" i="62"/>
  <c r="B16" i="64" s="1"/>
  <c r="L41" i="62"/>
  <c r="O97" i="62"/>
  <c r="N15" i="64" s="1"/>
  <c r="O96" i="62"/>
  <c r="N16" i="64" s="1"/>
  <c r="O99" i="62"/>
  <c r="N13" i="64" s="1"/>
  <c r="O95" i="62"/>
  <c r="O98" i="62"/>
  <c r="N14" i="64" s="1"/>
  <c r="J99" i="62"/>
  <c r="I13" i="64" s="1"/>
  <c r="J95" i="62"/>
  <c r="J98" i="62"/>
  <c r="I14" i="64" s="1"/>
  <c r="J97" i="62"/>
  <c r="I15" i="64" s="1"/>
  <c r="J96" i="62"/>
  <c r="I16" i="64" s="1"/>
  <c r="L57" i="62"/>
  <c r="K76" i="62"/>
  <c r="C16" i="64" s="1"/>
  <c r="K77" i="62"/>
  <c r="C15" i="64" s="1"/>
  <c r="K78" i="62"/>
  <c r="C14" i="64" s="1"/>
  <c r="K75" i="62"/>
  <c r="C17" i="64" s="1"/>
  <c r="K79" i="62"/>
  <c r="C13" i="64" s="1"/>
  <c r="M98" i="62"/>
  <c r="L14" i="64" s="1"/>
  <c r="M97" i="62"/>
  <c r="L15" i="64" s="1"/>
  <c r="M99" i="62"/>
  <c r="L13" i="64" s="1"/>
  <c r="M96" i="62"/>
  <c r="L16" i="64" s="1"/>
  <c r="M95" i="62"/>
  <c r="L76" i="62"/>
  <c r="D16" i="64" s="1"/>
  <c r="L75" i="62"/>
  <c r="D17" i="64" s="1"/>
  <c r="L77" i="62"/>
  <c r="D15" i="64" s="1"/>
  <c r="L79" i="62"/>
  <c r="D13" i="64" s="1"/>
  <c r="L78" i="62"/>
  <c r="D14" i="64" s="1"/>
  <c r="N99" i="62"/>
  <c r="M13" i="64" s="1"/>
  <c r="N95" i="62"/>
  <c r="N98" i="62"/>
  <c r="M14" i="64" s="1"/>
  <c r="N96" i="62"/>
  <c r="M16" i="64" s="1"/>
  <c r="N97" i="62"/>
  <c r="M15" i="64" s="1"/>
  <c r="K96" i="62"/>
  <c r="J16" i="64" s="1"/>
  <c r="K95" i="62"/>
  <c r="K99" i="62"/>
  <c r="J13" i="64" s="1"/>
  <c r="K98" i="62"/>
  <c r="J14" i="64" s="1"/>
  <c r="K97" i="62"/>
  <c r="J15" i="64" s="1"/>
  <c r="O76" i="62"/>
  <c r="G16" i="64" s="1"/>
  <c r="O77" i="62"/>
  <c r="G15" i="64" s="1"/>
  <c r="O75" i="62"/>
  <c r="G17" i="64" s="1"/>
  <c r="O79" i="62"/>
  <c r="G13" i="64" s="1"/>
  <c r="O78" i="62"/>
  <c r="G14" i="64" s="1"/>
  <c r="L97" i="62"/>
  <c r="K15" i="64" s="1"/>
  <c r="L96" i="62"/>
  <c r="K16" i="64" s="1"/>
  <c r="L99" i="62"/>
  <c r="K13" i="64" s="1"/>
  <c r="L98" i="62"/>
  <c r="K14" i="64" s="1"/>
  <c r="L95" i="62"/>
  <c r="N76" i="62"/>
  <c r="F16" i="64" s="1"/>
  <c r="N78" i="62"/>
  <c r="F14" i="64" s="1"/>
  <c r="N79" i="62"/>
  <c r="F13" i="64" s="1"/>
  <c r="N77" i="62"/>
  <c r="F15" i="64" s="1"/>
  <c r="N75" i="62"/>
  <c r="F17" i="64" s="1"/>
  <c r="M76" i="62"/>
  <c r="E16" i="64" s="1"/>
  <c r="M79" i="62"/>
  <c r="E13" i="64" s="1"/>
  <c r="M78" i="62"/>
  <c r="E14" i="64" s="1"/>
  <c r="M77" i="62"/>
  <c r="E15" i="64" s="1"/>
  <c r="M75" i="62"/>
  <c r="E17" i="64" s="1"/>
  <c r="B17" i="64" l="1"/>
  <c r="K17" i="64"/>
  <c r="D16" i="67"/>
  <c r="J17" i="64"/>
  <c r="C16" i="67"/>
  <c r="M17" i="64"/>
  <c r="F16" i="67"/>
  <c r="N17" i="64"/>
  <c r="G16" i="67"/>
  <c r="L17" i="64"/>
  <c r="E16" i="67"/>
  <c r="I17" i="64"/>
  <c r="B16" i="67"/>
  <c r="N18" i="64" l="1"/>
  <c r="G11" i="71" l="1"/>
  <c r="F11" i="71"/>
  <c r="E11" i="71"/>
  <c r="D11" i="71"/>
  <c r="C11" i="71"/>
  <c r="F45" i="71" l="1"/>
  <c r="F46" i="71"/>
  <c r="F47" i="71"/>
  <c r="B11" i="71"/>
  <c r="C47" i="71"/>
  <c r="C45" i="71"/>
  <c r="C46" i="71"/>
  <c r="D47" i="71"/>
  <c r="D45" i="71"/>
  <c r="D46" i="71"/>
  <c r="E45" i="71"/>
  <c r="E47" i="71"/>
  <c r="E46" i="71"/>
  <c r="G46" i="71"/>
  <c r="G47" i="71"/>
  <c r="G45" i="71"/>
  <c r="I101" i="1"/>
  <c r="B47" i="71" l="1"/>
  <c r="I47" i="71" s="1"/>
  <c r="B46" i="71"/>
  <c r="I46" i="71" s="1"/>
  <c r="B45" i="71"/>
  <c r="I45" i="71" s="1"/>
  <c r="N24" i="65" l="1"/>
  <c r="N32" i="65" s="1"/>
  <c r="G23" i="67"/>
  <c r="N24" i="64"/>
  <c r="N32" i="64" s="1"/>
  <c r="C24" i="64"/>
  <c r="C32" i="64" s="1"/>
  <c r="C24" i="65"/>
  <c r="C32" i="65" s="1"/>
  <c r="C22" i="65"/>
  <c r="C30" i="65" s="1"/>
  <c r="C22" i="64"/>
  <c r="C30" i="64" s="1"/>
  <c r="G24" i="64"/>
  <c r="G32" i="64" s="1"/>
  <c r="G24" i="65"/>
  <c r="G32" i="65" s="1"/>
  <c r="F24" i="65"/>
  <c r="F24" i="64"/>
  <c r="E24" i="64"/>
  <c r="E32" i="64" s="1"/>
  <c r="E24" i="65"/>
  <c r="E32" i="65" s="1"/>
  <c r="B22" i="65"/>
  <c r="B30" i="65" s="1"/>
  <c r="B22" i="64"/>
  <c r="B30" i="64" s="1"/>
  <c r="B24" i="64"/>
  <c r="B32" i="64" s="1"/>
  <c r="B24" i="65"/>
  <c r="B32" i="65" s="1"/>
  <c r="G23" i="64"/>
  <c r="G31" i="64" s="1"/>
  <c r="G41" i="64" s="1"/>
  <c r="G23" i="65"/>
  <c r="G31" i="65" s="1"/>
  <c r="E23" i="65"/>
  <c r="E31" i="65" s="1"/>
  <c r="E23" i="64"/>
  <c r="E31" i="64" s="1"/>
  <c r="D24" i="65"/>
  <c r="D32" i="65" s="1"/>
  <c r="D24" i="64"/>
  <c r="D32" i="64" s="1"/>
  <c r="G31" i="67" l="1"/>
  <c r="M24" i="64"/>
  <c r="M32" i="64" s="1"/>
  <c r="F23" i="67"/>
  <c r="M24" i="65"/>
  <c r="M32" i="65" s="1"/>
  <c r="G108" i="1"/>
  <c r="M21" i="65"/>
  <c r="M29" i="65" s="1"/>
  <c r="M21" i="64"/>
  <c r="F20" i="67"/>
  <c r="C24" i="67"/>
  <c r="J25" i="64"/>
  <c r="J33" i="64" s="1"/>
  <c r="D24" i="67"/>
  <c r="K25" i="64"/>
  <c r="K33" i="64" s="1"/>
  <c r="E20" i="67"/>
  <c r="L21" i="64"/>
  <c r="L21" i="65"/>
  <c r="L29" i="65" s="1"/>
  <c r="F108" i="1"/>
  <c r="B23" i="64"/>
  <c r="B31" i="64" s="1"/>
  <c r="B23" i="65"/>
  <c r="B31" i="65" s="1"/>
  <c r="B83" i="65"/>
  <c r="B42" i="65"/>
  <c r="B72" i="65"/>
  <c r="E42" i="64"/>
  <c r="E83" i="64"/>
  <c r="E23" i="67"/>
  <c r="L24" i="65"/>
  <c r="L32" i="65" s="1"/>
  <c r="L24" i="64"/>
  <c r="L32" i="64" s="1"/>
  <c r="L25" i="64"/>
  <c r="L33" i="64" s="1"/>
  <c r="E24" i="67"/>
  <c r="F25" i="64"/>
  <c r="G22" i="64"/>
  <c r="G30" i="64" s="1"/>
  <c r="C40" i="64" s="1"/>
  <c r="G22" i="65"/>
  <c r="G30" i="65" s="1"/>
  <c r="B40" i="65" s="1"/>
  <c r="B70" i="65"/>
  <c r="B81" i="65"/>
  <c r="G22" i="67"/>
  <c r="N23" i="65"/>
  <c r="N31" i="65" s="1"/>
  <c r="N23" i="64"/>
  <c r="N31" i="64" s="1"/>
  <c r="D25" i="64"/>
  <c r="D33" i="64" s="1"/>
  <c r="D72" i="64" s="1"/>
  <c r="I102" i="1"/>
  <c r="C108" i="1"/>
  <c r="I21" i="65"/>
  <c r="I29" i="65" s="1"/>
  <c r="B20" i="67"/>
  <c r="I21" i="64"/>
  <c r="E22" i="67"/>
  <c r="L23" i="65"/>
  <c r="L31" i="65" s="1"/>
  <c r="L23" i="64"/>
  <c r="L31" i="64" s="1"/>
  <c r="I105" i="1"/>
  <c r="I24" i="65"/>
  <c r="I32" i="65" s="1"/>
  <c r="B23" i="67"/>
  <c r="I24" i="64"/>
  <c r="I32" i="64" s="1"/>
  <c r="C25" i="64"/>
  <c r="C33" i="64" s="1"/>
  <c r="C70" i="64" s="1"/>
  <c r="N21" i="65"/>
  <c r="N29" i="65" s="1"/>
  <c r="N21" i="64"/>
  <c r="G20" i="67"/>
  <c r="H108" i="1"/>
  <c r="B25" i="64"/>
  <c r="I25" i="64"/>
  <c r="I33" i="64" s="1"/>
  <c r="B24" i="67"/>
  <c r="I106" i="1"/>
  <c r="M22" i="64"/>
  <c r="M30" i="64" s="1"/>
  <c r="F21" i="67"/>
  <c r="M22" i="65"/>
  <c r="M30" i="65" s="1"/>
  <c r="E22" i="64"/>
  <c r="E30" i="64" s="1"/>
  <c r="E22" i="65"/>
  <c r="E30" i="65" s="1"/>
  <c r="C23" i="65"/>
  <c r="C31" i="65" s="1"/>
  <c r="C23" i="64"/>
  <c r="C31" i="64" s="1"/>
  <c r="D83" i="64"/>
  <c r="D42" i="64"/>
  <c r="J24" i="65"/>
  <c r="J32" i="65" s="1"/>
  <c r="J24" i="64"/>
  <c r="J32" i="64" s="1"/>
  <c r="C23" i="67"/>
  <c r="G42" i="65"/>
  <c r="G72" i="65"/>
  <c r="C81" i="64"/>
  <c r="C42" i="65"/>
  <c r="C83" i="65"/>
  <c r="C72" i="65"/>
  <c r="N83" i="65"/>
  <c r="N42" i="65"/>
  <c r="N72" i="65"/>
  <c r="G21" i="67"/>
  <c r="N22" i="65"/>
  <c r="N30" i="65" s="1"/>
  <c r="N22" i="64"/>
  <c r="N30" i="64" s="1"/>
  <c r="F22" i="67"/>
  <c r="M23" i="64"/>
  <c r="M31" i="64" s="1"/>
  <c r="M23" i="65"/>
  <c r="M31" i="65" s="1"/>
  <c r="E25" i="64"/>
  <c r="E33" i="64" s="1"/>
  <c r="E71" i="64" s="1"/>
  <c r="D22" i="65"/>
  <c r="D30" i="65" s="1"/>
  <c r="D22" i="64"/>
  <c r="D30" i="64" s="1"/>
  <c r="G41" i="65"/>
  <c r="G71" i="65"/>
  <c r="B81" i="64"/>
  <c r="F32" i="65"/>
  <c r="F83" i="65"/>
  <c r="N83" i="64"/>
  <c r="N42" i="64"/>
  <c r="M25" i="64"/>
  <c r="M33" i="64" s="1"/>
  <c r="F24" i="67"/>
  <c r="K21" i="65"/>
  <c r="K29" i="65" s="1"/>
  <c r="D20" i="67"/>
  <c r="K21" i="64"/>
  <c r="E108" i="1"/>
  <c r="B21" i="67"/>
  <c r="I22" i="65"/>
  <c r="I30" i="65" s="1"/>
  <c r="I22" i="64"/>
  <c r="I30" i="64" s="1"/>
  <c r="I103" i="1"/>
  <c r="G24" i="67"/>
  <c r="N25" i="64"/>
  <c r="N33" i="64" s="1"/>
  <c r="J22" i="65"/>
  <c r="J30" i="65" s="1"/>
  <c r="J22" i="64"/>
  <c r="J30" i="64" s="1"/>
  <c r="C21" i="67"/>
  <c r="G21" i="65"/>
  <c r="G21" i="64"/>
  <c r="G29" i="64" s="1"/>
  <c r="H121" i="1"/>
  <c r="D23" i="65"/>
  <c r="D31" i="65" s="1"/>
  <c r="D23" i="64"/>
  <c r="D31" i="64" s="1"/>
  <c r="E41" i="64"/>
  <c r="E82" i="64"/>
  <c r="B42" i="64"/>
  <c r="B83" i="64"/>
  <c r="K23" i="65"/>
  <c r="K31" i="65" s="1"/>
  <c r="D22" i="67"/>
  <c r="K23" i="64"/>
  <c r="K31" i="64" s="1"/>
  <c r="D108" i="1"/>
  <c r="J21" i="65"/>
  <c r="J29" i="65" s="1"/>
  <c r="J21" i="64"/>
  <c r="C20" i="67"/>
  <c r="I104" i="1"/>
  <c r="I23" i="65"/>
  <c r="I31" i="65" s="1"/>
  <c r="I23" i="64"/>
  <c r="I31" i="64" s="1"/>
  <c r="B22" i="67"/>
  <c r="D21" i="67"/>
  <c r="K22" i="64"/>
  <c r="K30" i="64" s="1"/>
  <c r="K22" i="65"/>
  <c r="K30" i="65" s="1"/>
  <c r="G25" i="64"/>
  <c r="G33" i="64" s="1"/>
  <c r="G72" i="64" s="1"/>
  <c r="J23" i="65"/>
  <c r="J31" i="65" s="1"/>
  <c r="J23" i="64"/>
  <c r="J31" i="64" s="1"/>
  <c r="C22" i="67"/>
  <c r="E21" i="67"/>
  <c r="L22" i="64"/>
  <c r="L30" i="64" s="1"/>
  <c r="L22" i="65"/>
  <c r="L30" i="65" s="1"/>
  <c r="F22" i="64"/>
  <c r="F22" i="65"/>
  <c r="F23" i="65"/>
  <c r="F23" i="64"/>
  <c r="D72" i="65"/>
  <c r="D42" i="65"/>
  <c r="D83" i="65"/>
  <c r="E82" i="65"/>
  <c r="E41" i="65"/>
  <c r="E71" i="65"/>
  <c r="D23" i="67"/>
  <c r="K24" i="65"/>
  <c r="K32" i="65" s="1"/>
  <c r="K24" i="64"/>
  <c r="K32" i="64" s="1"/>
  <c r="E42" i="65"/>
  <c r="E83" i="65"/>
  <c r="E72" i="65"/>
  <c r="F83" i="64"/>
  <c r="F32" i="64"/>
  <c r="F42" i="64" s="1"/>
  <c r="G42" i="64"/>
  <c r="C81" i="65"/>
  <c r="C70" i="65"/>
  <c r="C83" i="64"/>
  <c r="C42" i="64"/>
  <c r="B16" i="71" l="1"/>
  <c r="B21" i="71" s="1"/>
  <c r="B38" i="71" s="1"/>
  <c r="I79" i="65"/>
  <c r="G16" i="71"/>
  <c r="G21" i="71" s="1"/>
  <c r="G40" i="71" s="1"/>
  <c r="N79" i="65"/>
  <c r="E16" i="71"/>
  <c r="E21" i="71" s="1"/>
  <c r="E38" i="71" s="1"/>
  <c r="L79" i="65"/>
  <c r="D16" i="71"/>
  <c r="D21" i="71" s="1"/>
  <c r="D40" i="71" s="1"/>
  <c r="K79" i="65"/>
  <c r="F16" i="71"/>
  <c r="F21" i="71" s="1"/>
  <c r="F39" i="71" s="1"/>
  <c r="M79" i="65"/>
  <c r="C16" i="71"/>
  <c r="C21" i="71" s="1"/>
  <c r="C39" i="71" s="1"/>
  <c r="J79" i="65"/>
  <c r="B53" i="72"/>
  <c r="C53" i="72"/>
  <c r="C54" i="72"/>
  <c r="B54" i="72"/>
  <c r="B40" i="71"/>
  <c r="E29" i="67"/>
  <c r="B30" i="67"/>
  <c r="D28" i="67"/>
  <c r="G83" i="65"/>
  <c r="B94" i="65" s="1"/>
  <c r="G29" i="67"/>
  <c r="F29" i="67"/>
  <c r="B32" i="67"/>
  <c r="E30" i="67"/>
  <c r="G30" i="67"/>
  <c r="E32" i="67"/>
  <c r="D31" i="67"/>
  <c r="C28" i="67"/>
  <c r="B29" i="67"/>
  <c r="F30" i="67"/>
  <c r="B31" i="67"/>
  <c r="C30" i="67"/>
  <c r="C29" i="67"/>
  <c r="G28" i="67"/>
  <c r="B28" i="67"/>
  <c r="C32" i="67"/>
  <c r="F31" i="67"/>
  <c r="D29" i="67"/>
  <c r="D30" i="67"/>
  <c r="G32" i="67"/>
  <c r="F32" i="67"/>
  <c r="C31" i="67"/>
  <c r="E31" i="67"/>
  <c r="E28" i="67"/>
  <c r="D32" i="67"/>
  <c r="F28" i="67"/>
  <c r="B40" i="64"/>
  <c r="E16" i="66"/>
  <c r="J82" i="65"/>
  <c r="J41" i="65"/>
  <c r="J71" i="65"/>
  <c r="B16" i="66"/>
  <c r="N84" i="64"/>
  <c r="N43" i="64"/>
  <c r="N73" i="64"/>
  <c r="K69" i="65"/>
  <c r="K39" i="65"/>
  <c r="K80" i="65"/>
  <c r="E40" i="65"/>
  <c r="E70" i="65"/>
  <c r="E81" i="65"/>
  <c r="I80" i="65"/>
  <c r="I39" i="65"/>
  <c r="I69" i="65"/>
  <c r="E21" i="65"/>
  <c r="E21" i="64"/>
  <c r="E29" i="64" s="1"/>
  <c r="F121" i="1"/>
  <c r="F16" i="66"/>
  <c r="G83" i="64"/>
  <c r="K83" i="64"/>
  <c r="K42" i="64"/>
  <c r="K72" i="64"/>
  <c r="F31" i="65"/>
  <c r="F82" i="65"/>
  <c r="K81" i="65"/>
  <c r="K40" i="65"/>
  <c r="K70" i="65"/>
  <c r="I82" i="64"/>
  <c r="I71" i="64"/>
  <c r="I41" i="64"/>
  <c r="K71" i="65"/>
  <c r="K41" i="65"/>
  <c r="K82" i="65"/>
  <c r="J40" i="64"/>
  <c r="J81" i="64"/>
  <c r="J70" i="64"/>
  <c r="I70" i="64"/>
  <c r="I40" i="64"/>
  <c r="I81" i="64"/>
  <c r="N72" i="64"/>
  <c r="F72" i="65"/>
  <c r="F42" i="65"/>
  <c r="D70" i="65"/>
  <c r="D40" i="65"/>
  <c r="D81" i="65"/>
  <c r="M71" i="65"/>
  <c r="M41" i="65"/>
  <c r="M82" i="65"/>
  <c r="N81" i="64"/>
  <c r="N70" i="64"/>
  <c r="N40" i="64"/>
  <c r="C41" i="64"/>
  <c r="C71" i="64"/>
  <c r="C82" i="64"/>
  <c r="E70" i="64"/>
  <c r="E40" i="64"/>
  <c r="E81" i="64"/>
  <c r="I72" i="64"/>
  <c r="I42" i="64"/>
  <c r="I83" i="64"/>
  <c r="C121" i="1"/>
  <c r="B21" i="64"/>
  <c r="B29" i="64" s="1"/>
  <c r="B21" i="65"/>
  <c r="L72" i="65"/>
  <c r="L42" i="65"/>
  <c r="L83" i="65"/>
  <c r="B41" i="65"/>
  <c r="B71" i="65"/>
  <c r="B82" i="65"/>
  <c r="L80" i="65"/>
  <c r="L69" i="65"/>
  <c r="L39" i="65"/>
  <c r="J84" i="64"/>
  <c r="J73" i="64"/>
  <c r="J43" i="64"/>
  <c r="M26" i="64"/>
  <c r="M29" i="64"/>
  <c r="M79" i="64" s="1"/>
  <c r="M83" i="65"/>
  <c r="M42" i="65"/>
  <c r="M72" i="65"/>
  <c r="K83" i="65"/>
  <c r="K42" i="65"/>
  <c r="K72" i="65"/>
  <c r="F81" i="65"/>
  <c r="F30" i="65"/>
  <c r="L70" i="65"/>
  <c r="L40" i="65"/>
  <c r="L81" i="65"/>
  <c r="K40" i="64"/>
  <c r="K81" i="64"/>
  <c r="K70" i="64"/>
  <c r="I82" i="65"/>
  <c r="I41" i="65"/>
  <c r="I71" i="65"/>
  <c r="J29" i="64"/>
  <c r="J79" i="64" s="1"/>
  <c r="J26" i="64"/>
  <c r="D41" i="64"/>
  <c r="D82" i="64"/>
  <c r="D71" i="64"/>
  <c r="G39" i="64"/>
  <c r="G69" i="64"/>
  <c r="K26" i="64"/>
  <c r="K29" i="64"/>
  <c r="K79" i="64" s="1"/>
  <c r="N40" i="65"/>
  <c r="N81" i="65"/>
  <c r="N70" i="65"/>
  <c r="C14" i="66"/>
  <c r="J83" i="64"/>
  <c r="J42" i="64"/>
  <c r="J72" i="64"/>
  <c r="C82" i="65"/>
  <c r="C41" i="65"/>
  <c r="C71" i="65"/>
  <c r="M81" i="64"/>
  <c r="M40" i="64"/>
  <c r="M70" i="64"/>
  <c r="I73" i="64"/>
  <c r="I43" i="64"/>
  <c r="I84" i="64"/>
  <c r="C72" i="64"/>
  <c r="C43" i="64"/>
  <c r="C73" i="64"/>
  <c r="L82" i="64"/>
  <c r="L71" i="64"/>
  <c r="L41" i="64"/>
  <c r="I26" i="64"/>
  <c r="I29" i="64"/>
  <c r="I79" i="64" s="1"/>
  <c r="N71" i="64"/>
  <c r="N41" i="64"/>
  <c r="N82" i="64"/>
  <c r="C40" i="65"/>
  <c r="G40" i="65"/>
  <c r="G70" i="65"/>
  <c r="D121" i="1"/>
  <c r="C21" i="64"/>
  <c r="C29" i="64" s="1"/>
  <c r="C21" i="65"/>
  <c r="E121" i="1"/>
  <c r="D21" i="65"/>
  <c r="D21" i="64"/>
  <c r="D29" i="64" s="1"/>
  <c r="B41" i="64"/>
  <c r="B82" i="64"/>
  <c r="L29" i="64"/>
  <c r="L79" i="64" s="1"/>
  <c r="L26" i="64"/>
  <c r="K43" i="64"/>
  <c r="K73" i="64"/>
  <c r="K84" i="64"/>
  <c r="M39" i="65"/>
  <c r="M80" i="65"/>
  <c r="M69" i="65"/>
  <c r="C16" i="66"/>
  <c r="F31" i="64"/>
  <c r="F82" i="64"/>
  <c r="F30" i="64"/>
  <c r="F81" i="64"/>
  <c r="L70" i="64"/>
  <c r="L81" i="64"/>
  <c r="L40" i="64"/>
  <c r="J41" i="64"/>
  <c r="J71" i="64"/>
  <c r="J82" i="64"/>
  <c r="G71" i="64"/>
  <c r="G73" i="64"/>
  <c r="G43" i="64"/>
  <c r="J80" i="65"/>
  <c r="J39" i="65"/>
  <c r="J69" i="65"/>
  <c r="K41" i="64"/>
  <c r="K71" i="64"/>
  <c r="K82" i="64"/>
  <c r="E15" i="66"/>
  <c r="D71" i="65"/>
  <c r="D82" i="65"/>
  <c r="D41" i="65"/>
  <c r="G29" i="65"/>
  <c r="J70" i="65"/>
  <c r="J40" i="65"/>
  <c r="J81" i="65"/>
  <c r="I81" i="65"/>
  <c r="I70" i="65"/>
  <c r="I40" i="65"/>
  <c r="M73" i="64"/>
  <c r="M43" i="64"/>
  <c r="M84" i="64"/>
  <c r="N16" i="66"/>
  <c r="D40" i="64"/>
  <c r="D70" i="64"/>
  <c r="D81" i="64"/>
  <c r="E73" i="64"/>
  <c r="E43" i="64"/>
  <c r="E84" i="64"/>
  <c r="M71" i="64"/>
  <c r="M82" i="64"/>
  <c r="M41" i="64"/>
  <c r="J83" i="65"/>
  <c r="J72" i="65"/>
  <c r="J42" i="65"/>
  <c r="D16" i="66"/>
  <c r="M70" i="65"/>
  <c r="M40" i="65"/>
  <c r="M81" i="65"/>
  <c r="B84" i="64"/>
  <c r="B33" i="64"/>
  <c r="N26" i="64"/>
  <c r="N29" i="64"/>
  <c r="N79" i="64" s="1"/>
  <c r="I83" i="65"/>
  <c r="I42" i="65"/>
  <c r="I72" i="65"/>
  <c r="I108" i="1"/>
  <c r="N71" i="65"/>
  <c r="N82" i="65"/>
  <c r="N41" i="65"/>
  <c r="G40" i="64"/>
  <c r="G70" i="64"/>
  <c r="F21" i="64"/>
  <c r="F21" i="65"/>
  <c r="G121" i="1"/>
  <c r="E72" i="64"/>
  <c r="B14" i="66"/>
  <c r="N80" i="65"/>
  <c r="N39" i="65"/>
  <c r="N69" i="65"/>
  <c r="L71" i="65"/>
  <c r="L41" i="65"/>
  <c r="L82" i="65"/>
  <c r="D84" i="64"/>
  <c r="D43" i="64"/>
  <c r="D73" i="64"/>
  <c r="F84" i="64"/>
  <c r="F33" i="64"/>
  <c r="L43" i="64"/>
  <c r="L84" i="64"/>
  <c r="L73" i="64"/>
  <c r="L83" i="64"/>
  <c r="L42" i="64"/>
  <c r="L72" i="64"/>
  <c r="M83" i="64"/>
  <c r="M42" i="64"/>
  <c r="M72" i="64"/>
  <c r="E40" i="71" l="1"/>
  <c r="G39" i="71"/>
  <c r="G38" i="71"/>
  <c r="F38" i="71"/>
  <c r="D39" i="71"/>
  <c r="D38" i="71"/>
  <c r="F40" i="71"/>
  <c r="E39" i="71"/>
  <c r="B39" i="71"/>
  <c r="C92" i="65"/>
  <c r="C90" i="64"/>
  <c r="C90" i="65"/>
  <c r="C38" i="71"/>
  <c r="C93" i="65"/>
  <c r="C91" i="65"/>
  <c r="C94" i="65"/>
  <c r="D94" i="65" s="1"/>
  <c r="E94" i="65" s="1"/>
  <c r="C40" i="71"/>
  <c r="I21" i="71"/>
  <c r="B15" i="71"/>
  <c r="B20" i="71" s="1"/>
  <c r="B36" i="71" s="1"/>
  <c r="K53" i="72"/>
  <c r="E53" i="72"/>
  <c r="M53" i="72"/>
  <c r="L53" i="72"/>
  <c r="J53" i="72"/>
  <c r="F53" i="72"/>
  <c r="H53" i="72"/>
  <c r="I53" i="72"/>
  <c r="D53" i="72"/>
  <c r="I54" i="72"/>
  <c r="L20" i="72"/>
  <c r="K20" i="72"/>
  <c r="M54" i="72"/>
  <c r="H20" i="72"/>
  <c r="M20" i="72"/>
  <c r="L54" i="72"/>
  <c r="L55" i="72" s="1"/>
  <c r="K54" i="72"/>
  <c r="K55" i="72" s="1"/>
  <c r="F54" i="72"/>
  <c r="J20" i="72"/>
  <c r="B55" i="72"/>
  <c r="C55" i="72"/>
  <c r="H54" i="72"/>
  <c r="I20" i="72"/>
  <c r="D54" i="72"/>
  <c r="J54" i="72"/>
  <c r="J55" i="72" s="1"/>
  <c r="E54" i="72"/>
  <c r="E15" i="71"/>
  <c r="E20" i="71" s="1"/>
  <c r="D15" i="71"/>
  <c r="D20" i="71" s="1"/>
  <c r="C15" i="71"/>
  <c r="C20" i="71" s="1"/>
  <c r="G15" i="71"/>
  <c r="G20" i="71" s="1"/>
  <c r="F15" i="71"/>
  <c r="F20" i="71" s="1"/>
  <c r="D17" i="66"/>
  <c r="D56" i="66" s="1"/>
  <c r="K17" i="66"/>
  <c r="L16" i="66"/>
  <c r="G81" i="65"/>
  <c r="B92" i="65" s="1"/>
  <c r="E17" i="66"/>
  <c r="E56" i="66" s="1"/>
  <c r="J15" i="66"/>
  <c r="L14" i="66"/>
  <c r="M16" i="66"/>
  <c r="L17" i="66"/>
  <c r="G82" i="65"/>
  <c r="B93" i="65" s="1"/>
  <c r="N17" i="66"/>
  <c r="M17" i="66"/>
  <c r="J17" i="66"/>
  <c r="G16" i="66"/>
  <c r="C26" i="66" s="1"/>
  <c r="K14" i="66"/>
  <c r="M15" i="66"/>
  <c r="K15" i="66"/>
  <c r="D14" i="66"/>
  <c r="L15" i="66"/>
  <c r="J14" i="66"/>
  <c r="F80" i="65"/>
  <c r="F29" i="65"/>
  <c r="B80" i="64"/>
  <c r="B69" i="64"/>
  <c r="B39" i="64"/>
  <c r="C92" i="64"/>
  <c r="I14" i="66"/>
  <c r="F71" i="65"/>
  <c r="F41" i="65"/>
  <c r="F80" i="64"/>
  <c r="F29" i="64"/>
  <c r="F40" i="64"/>
  <c r="F70" i="64"/>
  <c r="N15" i="66"/>
  <c r="M14" i="66"/>
  <c r="D15" i="66"/>
  <c r="C15" i="66"/>
  <c r="E39" i="64"/>
  <c r="E69" i="64"/>
  <c r="E80" i="64"/>
  <c r="G82" i="64"/>
  <c r="F15" i="66"/>
  <c r="L39" i="64"/>
  <c r="L69" i="64"/>
  <c r="L80" i="64"/>
  <c r="D80" i="64"/>
  <c r="D39" i="64"/>
  <c r="D69" i="64"/>
  <c r="C29" i="65"/>
  <c r="F40" i="65"/>
  <c r="F70" i="65"/>
  <c r="E14" i="66"/>
  <c r="N14" i="66"/>
  <c r="E29" i="65"/>
  <c r="B94" i="64"/>
  <c r="N69" i="64"/>
  <c r="N39" i="64"/>
  <c r="N80" i="64"/>
  <c r="N26" i="66"/>
  <c r="G81" i="64"/>
  <c r="F14" i="66"/>
  <c r="B15" i="66"/>
  <c r="I80" i="64"/>
  <c r="I39" i="64"/>
  <c r="I69" i="64"/>
  <c r="C95" i="64"/>
  <c r="I17" i="66"/>
  <c r="K39" i="64"/>
  <c r="K80" i="64"/>
  <c r="K69" i="64"/>
  <c r="J69" i="64"/>
  <c r="J39" i="64"/>
  <c r="J80" i="64"/>
  <c r="F72" i="64"/>
  <c r="F73" i="64"/>
  <c r="F43" i="64"/>
  <c r="B43" i="64"/>
  <c r="B73" i="64"/>
  <c r="B72" i="64"/>
  <c r="B70" i="64"/>
  <c r="G84" i="64"/>
  <c r="F17" i="66"/>
  <c r="B17" i="66"/>
  <c r="B56" i="66" s="1"/>
  <c r="C84" i="64"/>
  <c r="G69" i="65"/>
  <c r="G39" i="65"/>
  <c r="F71" i="64"/>
  <c r="F41" i="64"/>
  <c r="B71" i="64"/>
  <c r="D29" i="65"/>
  <c r="C80" i="64"/>
  <c r="C69" i="64"/>
  <c r="C39" i="64"/>
  <c r="J16" i="66"/>
  <c r="M39" i="64"/>
  <c r="M80" i="64"/>
  <c r="M69" i="64"/>
  <c r="B29" i="65"/>
  <c r="I16" i="66"/>
  <c r="C94" i="64"/>
  <c r="C93" i="64"/>
  <c r="I15" i="66"/>
  <c r="K16" i="66"/>
  <c r="I40" i="71" l="1"/>
  <c r="D52" i="71" s="1"/>
  <c r="I38" i="71"/>
  <c r="B52" i="71" s="1"/>
  <c r="I39" i="71"/>
  <c r="C52" i="71" s="1"/>
  <c r="D93" i="65"/>
  <c r="E93" i="65" s="1"/>
  <c r="D92" i="65"/>
  <c r="E92" i="65" s="1"/>
  <c r="C97" i="65"/>
  <c r="C98" i="65" s="1"/>
  <c r="B34" i="71"/>
  <c r="B35" i="71"/>
  <c r="E55" i="66"/>
  <c r="E57" i="66"/>
  <c r="M55" i="72"/>
  <c r="I55" i="72"/>
  <c r="L19" i="72"/>
  <c r="L21" i="72" s="1"/>
  <c r="J19" i="72"/>
  <c r="J21" i="72" s="1"/>
  <c r="E19" i="72"/>
  <c r="D19" i="72"/>
  <c r="C59" i="72"/>
  <c r="M19" i="72"/>
  <c r="M21" i="72" s="1"/>
  <c r="G53" i="72"/>
  <c r="B59" i="72" s="1"/>
  <c r="K19" i="72"/>
  <c r="K21" i="72" s="1"/>
  <c r="B19" i="72"/>
  <c r="C19" i="72"/>
  <c r="I19" i="72"/>
  <c r="I21" i="72" s="1"/>
  <c r="H19" i="72"/>
  <c r="F19" i="72"/>
  <c r="F20" i="72"/>
  <c r="C60" i="72"/>
  <c r="H55" i="72"/>
  <c r="E55" i="72"/>
  <c r="C26" i="72"/>
  <c r="D55" i="72"/>
  <c r="G54" i="72"/>
  <c r="B60" i="72" s="1"/>
  <c r="F55" i="72"/>
  <c r="K57" i="66"/>
  <c r="C34" i="71"/>
  <c r="C35" i="71"/>
  <c r="C36" i="71"/>
  <c r="I20" i="71"/>
  <c r="J57" i="66"/>
  <c r="E36" i="71"/>
  <c r="E34" i="71"/>
  <c r="E35" i="71"/>
  <c r="M57" i="66"/>
  <c r="F36" i="71"/>
  <c r="F34" i="71"/>
  <c r="F35" i="71"/>
  <c r="G34" i="71"/>
  <c r="G36" i="71"/>
  <c r="G35" i="71"/>
  <c r="D34" i="71"/>
  <c r="D36" i="71"/>
  <c r="D35" i="71"/>
  <c r="D57" i="66"/>
  <c r="D26" i="66"/>
  <c r="J55" i="66"/>
  <c r="K54" i="66"/>
  <c r="B26" i="66"/>
  <c r="F26" i="66"/>
  <c r="G26" i="66"/>
  <c r="J25" i="66"/>
  <c r="L57" i="66"/>
  <c r="J27" i="66"/>
  <c r="L26" i="66"/>
  <c r="N56" i="66"/>
  <c r="N27" i="66"/>
  <c r="J54" i="66"/>
  <c r="L27" i="66"/>
  <c r="L56" i="66"/>
  <c r="M27" i="66"/>
  <c r="K27" i="66"/>
  <c r="N57" i="66"/>
  <c r="L55" i="66"/>
  <c r="D54" i="66"/>
  <c r="M56" i="66"/>
  <c r="L54" i="66"/>
  <c r="E26" i="66"/>
  <c r="L13" i="66"/>
  <c r="G15" i="66"/>
  <c r="G25" i="66" s="1"/>
  <c r="M13" i="66"/>
  <c r="C17" i="66"/>
  <c r="C55" i="66" s="1"/>
  <c r="M26" i="66"/>
  <c r="J13" i="66"/>
  <c r="G14" i="66"/>
  <c r="G24" i="66" s="1"/>
  <c r="N13" i="66"/>
  <c r="G80" i="65"/>
  <c r="B54" i="66"/>
  <c r="G17" i="66"/>
  <c r="B27" i="66" s="1"/>
  <c r="K13" i="66"/>
  <c r="L25" i="66"/>
  <c r="M25" i="66"/>
  <c r="M55" i="66"/>
  <c r="K55" i="66"/>
  <c r="B93" i="64"/>
  <c r="D93" i="64" s="1"/>
  <c r="K25" i="66"/>
  <c r="B92" i="64"/>
  <c r="D92" i="64" s="1"/>
  <c r="B80" i="66" s="1"/>
  <c r="C82" i="66"/>
  <c r="B80" i="65"/>
  <c r="B39" i="65"/>
  <c r="B69" i="65"/>
  <c r="C68" i="66"/>
  <c r="B57" i="66"/>
  <c r="D94" i="64"/>
  <c r="B82" i="66" s="1"/>
  <c r="B69" i="66"/>
  <c r="N24" i="66"/>
  <c r="N54" i="66"/>
  <c r="F55" i="66"/>
  <c r="F69" i="64"/>
  <c r="F39" i="64"/>
  <c r="I54" i="66"/>
  <c r="I24" i="66"/>
  <c r="B79" i="64"/>
  <c r="C69" i="66"/>
  <c r="J26" i="66"/>
  <c r="J56" i="66"/>
  <c r="D69" i="65"/>
  <c r="D39" i="65"/>
  <c r="D80" i="65"/>
  <c r="F57" i="66"/>
  <c r="I13" i="66"/>
  <c r="C91" i="64"/>
  <c r="C66" i="66" s="1"/>
  <c r="F54" i="66"/>
  <c r="E54" i="66"/>
  <c r="C80" i="65"/>
  <c r="C39" i="65"/>
  <c r="C69" i="65"/>
  <c r="D55" i="66"/>
  <c r="G80" i="64"/>
  <c r="F13" i="66"/>
  <c r="C67" i="66"/>
  <c r="F39" i="65"/>
  <c r="F69" i="65"/>
  <c r="I25" i="66"/>
  <c r="I55" i="66"/>
  <c r="B55" i="66"/>
  <c r="K56" i="66"/>
  <c r="K26" i="66"/>
  <c r="I56" i="66"/>
  <c r="I26" i="66"/>
  <c r="B95" i="64"/>
  <c r="I27" i="66"/>
  <c r="I57" i="66"/>
  <c r="E69" i="65"/>
  <c r="E80" i="65"/>
  <c r="E39" i="65"/>
  <c r="F56" i="66"/>
  <c r="K24" i="66"/>
  <c r="M54" i="66"/>
  <c r="M24" i="66"/>
  <c r="J24" i="66"/>
  <c r="C70" i="66"/>
  <c r="L24" i="66"/>
  <c r="N25" i="66"/>
  <c r="N55" i="66"/>
  <c r="I37" i="71" l="1"/>
  <c r="C81" i="66"/>
  <c r="C80" i="66"/>
  <c r="D80" i="66" s="1"/>
  <c r="B91" i="65"/>
  <c r="C25" i="72"/>
  <c r="C27" i="72" s="1"/>
  <c r="C54" i="66"/>
  <c r="I34" i="71"/>
  <c r="B51" i="71" s="1"/>
  <c r="C61" i="72"/>
  <c r="H21" i="72"/>
  <c r="I35" i="71"/>
  <c r="C51" i="71" s="1"/>
  <c r="C53" i="71" s="1"/>
  <c r="D59" i="72"/>
  <c r="E59" i="72" s="1"/>
  <c r="I36" i="71"/>
  <c r="D51" i="71" s="1"/>
  <c r="D53" i="71" s="1"/>
  <c r="G19" i="72"/>
  <c r="B25" i="72" s="1"/>
  <c r="E20" i="72"/>
  <c r="G20" i="72"/>
  <c r="B61" i="72"/>
  <c r="D60" i="72"/>
  <c r="C20" i="72"/>
  <c r="B20" i="72"/>
  <c r="F21" i="72"/>
  <c r="D20" i="72"/>
  <c r="G55" i="72"/>
  <c r="C61" i="71"/>
  <c r="K53" i="66"/>
  <c r="G57" i="66"/>
  <c r="G56" i="66"/>
  <c r="L23" i="66"/>
  <c r="L53" i="66"/>
  <c r="F27" i="66"/>
  <c r="G54" i="66"/>
  <c r="E24" i="66"/>
  <c r="F24" i="66"/>
  <c r="M23" i="66"/>
  <c r="C24" i="66"/>
  <c r="G27" i="66"/>
  <c r="M53" i="66"/>
  <c r="D24" i="66"/>
  <c r="E27" i="66"/>
  <c r="F25" i="66"/>
  <c r="J53" i="66"/>
  <c r="K23" i="66"/>
  <c r="E25" i="66"/>
  <c r="D25" i="66"/>
  <c r="D13" i="66"/>
  <c r="C27" i="66"/>
  <c r="D27" i="66"/>
  <c r="J23" i="66"/>
  <c r="C25" i="66"/>
  <c r="N53" i="66"/>
  <c r="B24" i="66"/>
  <c r="E13" i="66"/>
  <c r="E53" i="66" s="1"/>
  <c r="B25" i="66"/>
  <c r="C56" i="66"/>
  <c r="G55" i="66"/>
  <c r="C13" i="66"/>
  <c r="N23" i="66"/>
  <c r="C57" i="66"/>
  <c r="C79" i="65"/>
  <c r="B68" i="66"/>
  <c r="B67" i="66"/>
  <c r="B81" i="66"/>
  <c r="E93" i="64"/>
  <c r="F53" i="66"/>
  <c r="C60" i="71"/>
  <c r="D95" i="64"/>
  <c r="B83" i="66" s="1"/>
  <c r="B70" i="66"/>
  <c r="E92" i="64"/>
  <c r="I53" i="66"/>
  <c r="I23" i="66"/>
  <c r="D69" i="66"/>
  <c r="C79" i="64"/>
  <c r="B90" i="64" s="1"/>
  <c r="D90" i="64" s="1"/>
  <c r="G13" i="66"/>
  <c r="D82" i="66"/>
  <c r="B13" i="66"/>
  <c r="B79" i="65"/>
  <c r="B91" i="64"/>
  <c r="E94" i="64"/>
  <c r="B90" i="65" l="1"/>
  <c r="D91" i="65"/>
  <c r="E91" i="65" s="1"/>
  <c r="I33" i="71"/>
  <c r="B66" i="72"/>
  <c r="C66" i="72"/>
  <c r="D25" i="72"/>
  <c r="C21" i="72"/>
  <c r="C67" i="72"/>
  <c r="D61" i="72"/>
  <c r="E61" i="72" s="1"/>
  <c r="B67" i="72"/>
  <c r="D21" i="72"/>
  <c r="B26" i="72"/>
  <c r="B21" i="72"/>
  <c r="G21" i="72"/>
  <c r="E21" i="72"/>
  <c r="E60" i="72"/>
  <c r="B53" i="71"/>
  <c r="C62" i="71"/>
  <c r="D67" i="66"/>
  <c r="D68" i="66"/>
  <c r="D53" i="66"/>
  <c r="D23" i="66"/>
  <c r="C53" i="66"/>
  <c r="F23" i="66"/>
  <c r="D81" i="66"/>
  <c r="E80" i="66"/>
  <c r="E95" i="64"/>
  <c r="E23" i="66"/>
  <c r="E82" i="66"/>
  <c r="C79" i="66"/>
  <c r="E69" i="66"/>
  <c r="D83" i="66"/>
  <c r="D91" i="64"/>
  <c r="B79" i="66" s="1"/>
  <c r="B66" i="66"/>
  <c r="C97" i="64"/>
  <c r="B53" i="66"/>
  <c r="B23" i="66"/>
  <c r="G53" i="66"/>
  <c r="G23" i="66"/>
  <c r="C23" i="66"/>
  <c r="D70" i="66"/>
  <c r="B60" i="71"/>
  <c r="B97" i="65" l="1"/>
  <c r="D90" i="65"/>
  <c r="E90" i="65" s="1"/>
  <c r="B32" i="72"/>
  <c r="C32" i="72"/>
  <c r="E25" i="72"/>
  <c r="B27" i="72"/>
  <c r="D26" i="72"/>
  <c r="E26" i="72" s="1"/>
  <c r="B61" i="71"/>
  <c r="B62" i="71" s="1"/>
  <c r="D60" i="71"/>
  <c r="E67" i="66"/>
  <c r="E68" i="66"/>
  <c r="E81" i="66"/>
  <c r="D79" i="66"/>
  <c r="E70" i="66"/>
  <c r="E91" i="64"/>
  <c r="D66" i="66"/>
  <c r="B97" i="64"/>
  <c r="E83" i="66"/>
  <c r="B98" i="65" l="1"/>
  <c r="D97" i="65"/>
  <c r="D98" i="65" s="1"/>
  <c r="K71" i="72"/>
  <c r="L71" i="72"/>
  <c r="J71" i="72"/>
  <c r="I71" i="72"/>
  <c r="M71" i="72"/>
  <c r="L37" i="72"/>
  <c r="M37" i="72"/>
  <c r="I37" i="72"/>
  <c r="K37" i="72"/>
  <c r="H37" i="72"/>
  <c r="J37" i="72"/>
  <c r="H71" i="72"/>
  <c r="F71" i="72"/>
  <c r="D71" i="72"/>
  <c r="C71" i="72"/>
  <c r="G71" i="72"/>
  <c r="B71" i="72"/>
  <c r="E71" i="72"/>
  <c r="G37" i="72"/>
  <c r="D37" i="72"/>
  <c r="B37" i="72"/>
  <c r="C37" i="72"/>
  <c r="E37" i="72"/>
  <c r="F37" i="72"/>
  <c r="B33" i="72"/>
  <c r="D27" i="72"/>
  <c r="E27" i="72" s="1"/>
  <c r="C33" i="72"/>
  <c r="B66" i="71"/>
  <c r="C66" i="71"/>
  <c r="E60" i="71"/>
  <c r="D61" i="71"/>
  <c r="D62" i="71" s="1"/>
  <c r="E62" i="71" s="1"/>
  <c r="E79" i="66"/>
  <c r="E90" i="64"/>
  <c r="D97" i="64"/>
  <c r="D98" i="64" s="1"/>
  <c r="E66" i="66"/>
  <c r="E97" i="65" l="1"/>
  <c r="E61" i="71"/>
  <c r="B72" i="72"/>
  <c r="B73" i="72" s="1"/>
  <c r="C72" i="72"/>
  <c r="C73" i="72" s="1"/>
  <c r="D72" i="72"/>
  <c r="D73" i="72" s="1"/>
  <c r="F72" i="72"/>
  <c r="F73" i="72" s="1"/>
  <c r="E72" i="72"/>
  <c r="E73" i="72" s="1"/>
  <c r="F38" i="72"/>
  <c r="F39" i="72" s="1"/>
  <c r="G72" i="72"/>
  <c r="G73" i="72" s="1"/>
  <c r="C38" i="72"/>
  <c r="C39" i="72" s="1"/>
  <c r="B38" i="72"/>
  <c r="B39" i="72" s="1"/>
  <c r="E38" i="72"/>
  <c r="E39" i="72" s="1"/>
  <c r="D38" i="72"/>
  <c r="D39" i="72" s="1"/>
  <c r="G38" i="72"/>
  <c r="G39" i="72" s="1"/>
  <c r="K72" i="72"/>
  <c r="K73" i="72" s="1"/>
  <c r="H72" i="72"/>
  <c r="H73" i="72" s="1"/>
  <c r="J72" i="72"/>
  <c r="J73" i="72" s="1"/>
  <c r="L72" i="72"/>
  <c r="L73" i="72" s="1"/>
  <c r="M72" i="72"/>
  <c r="M73" i="72" s="1"/>
  <c r="I72" i="72"/>
  <c r="I73" i="72" s="1"/>
  <c r="H38" i="72"/>
  <c r="H39" i="72" s="1"/>
  <c r="J38" i="72"/>
  <c r="J39" i="72" s="1"/>
  <c r="I38" i="72"/>
  <c r="I39" i="72" s="1"/>
  <c r="L38" i="72"/>
  <c r="L39" i="72" s="1"/>
  <c r="M38" i="72"/>
  <c r="M39" i="72" s="1"/>
  <c r="K38" i="72"/>
  <c r="K39" i="72" s="1"/>
  <c r="B71" i="71"/>
  <c r="C71" i="71"/>
  <c r="B67" i="71"/>
  <c r="C67" i="71"/>
  <c r="F71" i="71"/>
  <c r="E71" i="71"/>
  <c r="D71" i="71"/>
  <c r="E97" i="64"/>
  <c r="C77" i="71" l="1"/>
  <c r="C72" i="71"/>
  <c r="C73" i="71" s="1"/>
  <c r="C12" i="66" s="1"/>
  <c r="B72" i="71"/>
  <c r="B73" i="71" s="1"/>
  <c r="B12" i="66" s="1"/>
  <c r="B77" i="71"/>
  <c r="F72" i="71"/>
  <c r="F73" i="71" s="1"/>
  <c r="K12" i="66" s="1"/>
  <c r="E72" i="71"/>
  <c r="E73" i="71" s="1"/>
  <c r="J12" i="66" s="1"/>
  <c r="D72" i="71"/>
  <c r="B78" i="71" l="1"/>
  <c r="B79" i="71" s="1"/>
  <c r="B65" i="66" s="1"/>
  <c r="C78" i="71"/>
  <c r="D73" i="71"/>
  <c r="I12" i="66" s="1"/>
  <c r="D77" i="71"/>
  <c r="E77" i="71" s="1"/>
  <c r="D78" i="71" l="1"/>
  <c r="C78" i="66" s="1"/>
  <c r="C85" i="66" s="1"/>
  <c r="C79" i="71"/>
  <c r="C65" i="66" s="1"/>
  <c r="C72" i="66" s="1"/>
  <c r="B78" i="66"/>
  <c r="B72" i="66"/>
  <c r="E78" i="71" l="1"/>
  <c r="D65" i="66"/>
  <c r="E65" i="66" s="1"/>
  <c r="D79" i="71"/>
  <c r="B85" i="66"/>
  <c r="D78" i="66"/>
  <c r="D72" i="66"/>
  <c r="E72" i="66" s="1"/>
  <c r="E79" i="71" l="1"/>
  <c r="D80" i="71"/>
  <c r="E78" i="66"/>
  <c r="D73" i="66"/>
  <c r="D85" i="66"/>
  <c r="E85" i="66" s="1"/>
</calcChain>
</file>

<file path=xl/sharedStrings.xml><?xml version="1.0" encoding="utf-8"?>
<sst xmlns="http://schemas.openxmlformats.org/spreadsheetml/2006/main" count="1192" uniqueCount="223">
  <si>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</si>
  <si>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</si>
  <si>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</si>
  <si>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</si>
  <si>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</si>
  <si>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</si>
  <si>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</si>
  <si>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</si>
  <si>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</si>
  <si>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Fuente: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</si>
  <si>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</si>
  <si>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</si>
  <si>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</si>
  <si>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</si>
  <si>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</si>
  <si>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</si>
  <si>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</si>
  <si>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</si>
  <si>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</si>
  <si>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</si>
  <si>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</si>
  <si>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</si>
  <si>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</si>
  <si>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</si>
  <si>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</si>
  <si>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</si>
  <si>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</si>
  <si>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</si>
  <si>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no aplica</t>
  </si>
  <si>
    <t>Ingresos de generadores</t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</si>
  <si>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</si>
  <si>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</si>
  <si>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 xml:space="preserve">Retribución definitiva transporte 2008-2011 </t>
  </si>
  <si>
    <t>Incentivo a la disponibilidad</t>
  </si>
  <si>
    <t>Retribución Inversión, O&amp;M y OTD</t>
  </si>
  <si>
    <t>Previsión CNMC</t>
  </si>
  <si>
    <t>Asignación 2020</t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</si>
  <si>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</si>
  <si>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</si>
  <si>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</si>
  <si>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</si>
  <si>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</si>
  <si>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</si>
  <si>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</si>
  <si>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</si>
  <si>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</si>
  <si>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</si>
  <si>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</si>
  <si>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</si>
  <si>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</si>
  <si>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</si>
  <si>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</si>
  <si>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</si>
  <si>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</si>
  <si>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</si>
  <si>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</si>
  <si>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</si>
  <si>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</si>
  <si>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</si>
  <si>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</si>
  <si>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</si>
  <si>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</si>
  <si>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</si>
  <si>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</si>
  <si>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</si>
  <si>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</si>
  <si>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</si>
  <si>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</si>
  <si>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</si>
  <si>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</si>
  <si>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</si>
  <si>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</si>
  <si>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</si>
  <si>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</si>
  <si>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</si>
  <si>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</si>
  <si>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</si>
  <si>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</si>
  <si>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</si>
  <si>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</si>
  <si>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</si>
  <si>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</si>
  <si>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</si>
  <si>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</si>
  <si>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</si>
  <si>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</si>
  <si>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</si>
  <si>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</si>
  <si>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</si>
  <si>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</si>
  <si>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</si>
  <si>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</si>
  <si>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</si>
  <si>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</si>
  <si>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</si>
  <si>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</si>
  <si>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</si>
  <si>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Asignación del coste del nivel de tensión por periodo tarifario</t>
  </si>
  <si>
    <t>Periodo horario</t>
  </si>
  <si>
    <t>Participación de cada periodo en las H primeras horas de la monótona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</si>
  <si>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</si>
  <si>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</si>
  <si>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</si>
  <si>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</si>
  <si>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</si>
  <si>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</si>
  <si>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</si>
  <si>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</si>
  <si>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</si>
  <si>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</si>
  <si>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</si>
  <si>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</si>
  <si>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</si>
  <si>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</si>
  <si>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</si>
  <si>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</si>
  <si>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Coste unitario a recuperar con cargo al término de energía de los peajes en cada periodo horario (€/kWh) (A)/(B)</t>
  </si>
  <si>
    <t>Energía consumida por periodo horario (MWh) (B)</t>
  </si>
  <si>
    <t>2. Relación de precios respecto del periodo 6</t>
  </si>
  <si>
    <t>3. Relación de precios respecto del nivel de tensión 4</t>
  </si>
  <si>
    <t>Fuente: Circular 4/2015, de 22 de julio, de la CNMC</t>
  </si>
  <si>
    <t>Fuente: Circular 3/2014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</si>
  <si>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</si>
  <si>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</si>
  <si>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</si>
  <si>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</si>
  <si>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</si>
  <si>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Fuente: Curvas de carga del sistema peninular, balances de energía, y calendario propuesta Circular para el ejercicio 2018</t>
  </si>
  <si>
    <t>4. Diseño de precios</t>
  </si>
  <si>
    <t>Término de potencia de los peajes (€/kW año)</t>
  </si>
  <si>
    <t>Término de energía de los peajes (€/kWh)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</si>
  <si>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</si>
  <si>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</si>
  <si>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</si>
  <si>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3. Relación de precios respecto del nivel de tensión 3</t>
  </si>
  <si>
    <t>5. Facturación por peaje de distribución</t>
  </si>
  <si>
    <t>1. Peajes de transporte y distribución</t>
  </si>
  <si>
    <t>Facturación peaje de T&amp;D (miles €)</t>
  </si>
  <si>
    <t xml:space="preserve">Distribución </t>
  </si>
  <si>
    <t>% transporte sobre total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</si>
  <si>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</si>
  <si>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</si>
  <si>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</si>
  <si>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</si>
  <si>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</si>
  <si>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</si>
  <si>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Fuente: Propuesta Circular retribución del transporte, con escalón en la tasa de retribución financiera</t>
  </si>
  <si>
    <t>Fuente: Propuesta Circular retribución de la distribución, con escalón en la tasa de retribución financiera</t>
  </si>
  <si>
    <t>Peaje</t>
  </si>
  <si>
    <t>Periodo</t>
  </si>
  <si>
    <t xml:space="preserve">Discriminación horaria de tres periodos
</t>
  </si>
  <si>
    <t>Conversión de la facturación (miles €) de la DH6 a la DH3 (E) = (C) * (D)</t>
  </si>
  <si>
    <t>Peaje T&amp;D</t>
  </si>
  <si>
    <t>Energía por  periodo horario (MWh) (A)</t>
  </si>
  <si>
    <t xml:space="preserve">Facturación por término de energía (miles €) (C) = (A) * (B) </t>
  </si>
  <si>
    <t>Facturación por periodo de la DH3 
(miles €)</t>
  </si>
  <si>
    <t>Conversión del consumo (MWh) de la DH6 a la DH3 (F) = (A) * (D)</t>
  </si>
  <si>
    <t>Consumo por periodo de la DH3</t>
  </si>
  <si>
    <t>Distribución</t>
  </si>
  <si>
    <t xml:space="preserve">Distribución
</t>
  </si>
  <si>
    <t>Término de enegía de los peajes  (€/kWh) (B)</t>
  </si>
  <si>
    <t>Coeficientes de conversión de la discriminación horaria de seis periodos (D)</t>
  </si>
  <si>
    <t>Total facturación (miles €)</t>
  </si>
  <si>
    <t>Total T&amp;D</t>
  </si>
  <si>
    <t>2. Ajuste de los precios a la relación fijo variable de 75%-25%</t>
  </si>
  <si>
    <t>Peaje T</t>
  </si>
  <si>
    <t>Peaje D</t>
  </si>
  <si>
    <t>Facturación peaje 2.0 TD (miles €)</t>
  </si>
  <si>
    <t>Coeficientes del peaje 2.0 TD</t>
  </si>
  <si>
    <t>Término de potencia
(A)</t>
  </si>
  <si>
    <t>Término de energía
(B)</t>
  </si>
  <si>
    <t>Total
(C)</t>
  </si>
  <si>
    <t>Término de potencia
(C) * 75% / (A)</t>
  </si>
  <si>
    <t>Término de energía
(C) * 25% / (B)</t>
  </si>
  <si>
    <t>Términos de energía de la DH3 (€/kWh) (E) / (F)</t>
  </si>
  <si>
    <t>1. Determinación del peaje 3.0 TDVE</t>
  </si>
  <si>
    <t>Potencia contratada (kW)</t>
  </si>
  <si>
    <t>Tiempo de recarga (min)</t>
  </si>
  <si>
    <t>Consumo por recarga (kWh)</t>
  </si>
  <si>
    <t>Hipótesis</t>
  </si>
  <si>
    <t>Utilización de la potencia</t>
  </si>
  <si>
    <t>Consumo anual (kWh)</t>
  </si>
  <si>
    <t>Facturación al peaje 3.0 TD (miles €)</t>
  </si>
  <si>
    <t>Coeficientes de ajuste para obtener el peaje 3.0 TDVE</t>
  </si>
  <si>
    <t>Término de potencia del peaje 3.0 TD (€/kW año) (A)</t>
  </si>
  <si>
    <t>Términos de energía del peaje 3.0 TD (€/kWh) (B)</t>
  </si>
  <si>
    <t>Término de potencia
(C)</t>
  </si>
  <si>
    <t>Término de energía
(D)</t>
  </si>
  <si>
    <t>Total
(E)</t>
  </si>
  <si>
    <t>Término de potencia
(F) = (E) * 20% / (C)</t>
  </si>
  <si>
    <t>Término de energía
(G) = (E) * 80% / (D)</t>
  </si>
  <si>
    <t>Término de potencia del peaje 3.0 TDVE (€/kW año) (A) * (F)</t>
  </si>
  <si>
    <t>Términos de energía del peaje 3.0 TDVE (€/kWh) (B) * (G)</t>
  </si>
  <si>
    <t>2. Determinación del peaje 6.1 TDVE</t>
  </si>
  <si>
    <t>Término de potencia del peaje 6.1 TD (€/kW año) (A)</t>
  </si>
  <si>
    <t>Términos de energía del peaje 6.1 TD (€/kWh) (B)</t>
  </si>
  <si>
    <t>Facturación al peaje 6.1 TD (miles €)</t>
  </si>
  <si>
    <t>I.- Datos de Entrada</t>
  </si>
  <si>
    <t>IIa.- Balances de potencia. Calendario Circular CNMC. Año 2018</t>
  </si>
  <si>
    <t>IIb.- Balances de energía. Calendario Circular CNMC. Año 2018</t>
  </si>
  <si>
    <t>IIIa.- Coeficientes de asignación de la retribución de cada nivel tarifario y periodo al término de potencia del propio nivel de tensión y niveles de tensión inferiores, según calendario propuesto por la CNMC</t>
  </si>
  <si>
    <t>IIIb.- Coeficientes de asignación de la retribución de cada nivel tarifario y periodo al término de energía del propio nivel de tensión y niveles de tensión inferiores, según calendario propuesto por la CNMC</t>
  </si>
  <si>
    <t>IVa. Asignación de la retribución que se debe recuperar a través de los peajes por nivel de tensión</t>
  </si>
  <si>
    <t>IVb. Asignación de la retribución de cada nivel de tensión a los términos de potencia y energía</t>
  </si>
  <si>
    <t>IVc. Asignación de la retribución de cada nivel de tensión y término de facturación por periodo horario</t>
  </si>
  <si>
    <t>IVd. Asignación de la retribución de cada nivel de tensión a recuperar por  término de facturación y periodo al propio nivel de tensión y a niveles de tensión inferiores</t>
  </si>
  <si>
    <t>Va.1. Determinación de los peajes de transporte</t>
  </si>
  <si>
    <t>Vb.1. Determinación de los peajes de distribución</t>
  </si>
  <si>
    <t>VII.2. Relación de precios respecto del periodo 6</t>
  </si>
  <si>
    <t>IX. Peajes de aplicación a puntos de suministro dedicados en exclusividad a la recarga de vehículos electricos</t>
  </si>
  <si>
    <t>1. Asignación de la retribución de cada nivel de tensión que se recupera por el término de potencia por periodo horario</t>
  </si>
  <si>
    <t>2. Asignación de la retribución de cada nivel de tensión que se recupera por el término de energía por periodo horario</t>
  </si>
  <si>
    <t>1. Asignación de la retribución de cada nivel de tensión a recuperar por el término de potencia y periodo al propio nivel de tensión y a niveles de tensión inferiores</t>
  </si>
  <si>
    <t>2. Asignación de la retribución de cada nivel de tensión a recuperar por el término de energía y periodo al propio nivel de tensión y a niveles de tensión inferiores</t>
  </si>
  <si>
    <t>4. Facturación por peaje de transporte</t>
  </si>
  <si>
    <t>1. Peajes de distribución</t>
  </si>
  <si>
    <t>1. Peajes de transporte</t>
  </si>
  <si>
    <t>VI.Diseño del Peaje 2.0 TD</t>
  </si>
  <si>
    <t>1 Conversión del peaje 2.0 TD de seis periodos a tres periodos</t>
  </si>
  <si>
    <t>VII.1. Determinación de los peajes de transporte y distribución</t>
  </si>
  <si>
    <t>Fuente: Curvas de carga de consumidores conectados en baja tensión con potencia contratada inferior a 15 kW</t>
  </si>
  <si>
    <t>7.- Distribución del consumo según calendario DH6 (%). DH6 -&gt; DH3</t>
  </si>
  <si>
    <t>VII. Determinación de los pagos de autoconsumidores por la energía autoconsumida en el caso de instalaciones próximas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</si>
</sst>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#,##0_ ;\-#,##0\ "/>
    <numFmt numFmtId="167" formatCode="0.0%"/>
    <numFmt numFmtId="168" formatCode="#,##0.000"/>
    <numFmt numFmtId="169" formatCode="_-\ #,##0\ _€_-;\-\ #,##0\ _€_-;_-\ &quot;-&quot;??\ _€_-;_-@_-"/>
    <numFmt numFmtId="170" formatCode="_-* #,##0\ _€_-;\-* #,##0\ _€_-;_-* &quot;-&quot;??\ _€_-;_-@_-"/>
    <numFmt numFmtId="171" formatCode="[$-C0A]mmm\-yy;@"/>
    <numFmt numFmtId="172" formatCode="_-* #,##0.0\ _P_t_a_-;\-* #,##0.0\ _P_t_a_-;_-* &quot;-&quot;\ _P_t_a_-;_-@_-"/>
    <numFmt numFmtId="173" formatCode="_-* #,##0.000\ _P_t_a_-;\-* #,##0.000\ _P_t_a_-;_-* &quot;-&quot;??\ _P_t_a_-;_-@_-"/>
    <numFmt numFmtId="174" formatCode="#,##0.00000"/>
    <numFmt numFmtId="175" formatCode="_-* #,##0.00000\ _P_t_a_-;\-* #,##0.00000\ _P_t_a_-;_-* &quot;-&quot;??\ _P_t_a_-;_-@_-"/>
    <numFmt numFmtId="176" formatCode="_-* #,##0.0000\ _€_-;\-* #,##0.0000\ _€_-;_-* &quot;-&quot;??\ _€_-;_-@_-"/>
    <numFmt numFmtId="177" formatCode="_-* #,##0\ _€_-;\-* #,##0\ _€_-;_-* &quot;-&quot;????\ _€_-;_-@_-"/>
    <numFmt numFmtId="178" formatCode="_-* #,##0.0\ _P_t_a_-;\-* #,##0.0\ _P_t_a_-;_-* &quot;-&quot;??\ _P_t_a_-;_-@_-"/>
    <numFmt numFmtId="179" formatCode="_-* #,##0.000000\ _€_-;\-* #,##0.000000\ _€_-;_-* &quot;-&quot;??\ _€_-;_-@_-"/>
    <numFmt numFmtId="180" formatCode="_-* #,##0\ _P_t_a_-;\-* #,##0\ _P_t_a_-;_-* &quot;-&quot;??\ _P_t_a_-;_-@_-"/>
    <numFmt numFmtId="181" formatCode="_-* #,##0.0000\ _€_-;\-* #,##0.0000\ _€_-;_-* &quot;-&quot;????\ _€_-;_-@_-"/>
    <numFmt numFmtId="182" formatCode="_-* #,##0.000000\ _€_-;\-* #,##0.000000\ _€_-;_-* &quot;-&quot;??????\ _€_-;_-@_-"/>
    <numFmt numFmtId="184" formatCode="_-* #,##0.0\ _€_-;\-* #,##0.0\ _€_-;_-* &quot;-&quot;?\ _€_-;_-@_-"/>
    <numFmt numFmtId="185" formatCode="_-* #,##0.0000000\ _P_t_a_-;\-* #,##0.0000000\ _P_t_a_-;_-* &quot;-&quot;??\ _P_t_a_-;_-@_-"/>
    <numFmt numFmtId="186" formatCode="_-* #,##0.000\ _€_-;\-* #,##0.000\ _€_-;_-* &quot;-&quot;??\ _€_-;_-@_-"/>
    <numFmt numFmtId="187" formatCode="_-* #,##0.0000\ _P_t_a_-;\-* #,##0.0000\ _P_t_a_-;_-* &quot;-&quot;??\ _P_t_a_-;_-@_-"/>
  </numFmts>
  <fonts count="65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5"/>
      <name val="Arial"/>
      <family val="2"/>
    </font>
    <font>
      <b/>
      <sz val="14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16">
    <xf numFmtId="0" fontId="0" fillId="0" borderId="0"/>
    <xf numFmtId="164" fontId="12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165" fontId="2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12" fillId="0" borderId="0" applyFont="0" applyFill="0" applyBorder="0" applyAlignment="0" applyProtection="0"/>
    <xf numFmtId="3" fontId="29" fillId="17" borderId="0"/>
    <xf numFmtId="3" fontId="30" fillId="17" borderId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12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0" fontId="12" fillId="0" borderId="0"/>
    <xf numFmtId="171" fontId="12" fillId="0" borderId="0"/>
    <xf numFmtId="0" fontId="12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33" fillId="0" borderId="0" applyFont="0" applyFill="0" applyBorder="0" applyAlignment="0" applyProtection="0"/>
    <xf numFmtId="171" fontId="12" fillId="0" borderId="0"/>
    <xf numFmtId="43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1" fillId="20" borderId="0" applyNumberFormat="0" applyBorder="0" applyAlignment="0" applyProtection="0"/>
    <xf numFmtId="171" fontId="31" fillId="21" borderId="0" applyNumberFormat="0" applyBorder="0" applyAlignment="0" applyProtection="0"/>
    <xf numFmtId="171" fontId="31" fillId="22" borderId="0" applyNumberFormat="0" applyBorder="0" applyAlignment="0" applyProtection="0"/>
    <xf numFmtId="171" fontId="31" fillId="23" borderId="0" applyNumberFormat="0" applyBorder="0" applyAlignment="0" applyProtection="0"/>
    <xf numFmtId="171" fontId="31" fillId="24" borderId="0" applyNumberFormat="0" applyBorder="0" applyAlignment="0" applyProtection="0"/>
    <xf numFmtId="171" fontId="31" fillId="25" borderId="0" applyNumberFormat="0" applyBorder="0" applyAlignment="0" applyProtection="0"/>
    <xf numFmtId="171" fontId="31" fillId="26" borderId="0" applyNumberFormat="0" applyBorder="0" applyAlignment="0" applyProtection="0"/>
    <xf numFmtId="171" fontId="31" fillId="27" borderId="0" applyNumberFormat="0" applyBorder="0" applyAlignment="0" applyProtection="0"/>
    <xf numFmtId="171" fontId="31" fillId="28" borderId="0" applyNumberFormat="0" applyBorder="0" applyAlignment="0" applyProtection="0"/>
    <xf numFmtId="171" fontId="31" fillId="23" borderId="0" applyNumberFormat="0" applyBorder="0" applyAlignment="0" applyProtection="0"/>
    <xf numFmtId="171" fontId="31" fillId="26" borderId="0" applyNumberFormat="0" applyBorder="0" applyAlignment="0" applyProtection="0"/>
    <xf numFmtId="171" fontId="31" fillId="29" borderId="0" applyNumberFormat="0" applyBorder="0" applyAlignment="0" applyProtection="0"/>
    <xf numFmtId="171" fontId="34" fillId="30" borderId="0" applyNumberFormat="0" applyBorder="0" applyAlignment="0" applyProtection="0"/>
    <xf numFmtId="171" fontId="34" fillId="27" borderId="0" applyNumberFormat="0" applyBorder="0" applyAlignment="0" applyProtection="0"/>
    <xf numFmtId="171" fontId="34" fillId="28" borderId="0" applyNumberFormat="0" applyBorder="0" applyAlignment="0" applyProtection="0"/>
    <xf numFmtId="171" fontId="34" fillId="31" borderId="0" applyNumberFormat="0" applyBorder="0" applyAlignment="0" applyProtection="0"/>
    <xf numFmtId="171" fontId="34" fillId="32" borderId="0" applyNumberFormat="0" applyBorder="0" applyAlignment="0" applyProtection="0"/>
    <xf numFmtId="171" fontId="34" fillId="33" borderId="0" applyNumberFormat="0" applyBorder="0" applyAlignment="0" applyProtection="0"/>
    <xf numFmtId="171" fontId="34" fillId="34" borderId="0" applyNumberFormat="0" applyBorder="0" applyAlignment="0" applyProtection="0"/>
    <xf numFmtId="171" fontId="31" fillId="35" borderId="0" applyNumberFormat="0" applyBorder="0" applyAlignment="0" applyProtection="0"/>
    <xf numFmtId="171" fontId="31" fillId="35" borderId="0" applyNumberFormat="0" applyBorder="0" applyAlignment="0" applyProtection="0"/>
    <xf numFmtId="171" fontId="34" fillId="36" borderId="0" applyNumberFormat="0" applyBorder="0" applyAlignment="0" applyProtection="0"/>
    <xf numFmtId="171" fontId="34" fillId="37" borderId="0" applyNumberFormat="0" applyBorder="0" applyAlignment="0" applyProtection="0"/>
    <xf numFmtId="171" fontId="31" fillId="38" borderId="0" applyNumberFormat="0" applyBorder="0" applyAlignment="0" applyProtection="0"/>
    <xf numFmtId="171" fontId="31" fillId="39" borderId="0" applyNumberFormat="0" applyBorder="0" applyAlignment="0" applyProtection="0"/>
    <xf numFmtId="171" fontId="34" fillId="40" borderId="0" applyNumberFormat="0" applyBorder="0" applyAlignment="0" applyProtection="0"/>
    <xf numFmtId="171" fontId="34" fillId="40" borderId="0" applyNumberFormat="0" applyBorder="0" applyAlignment="0" applyProtection="0"/>
    <xf numFmtId="171" fontId="31" fillId="38" borderId="0" applyNumberFormat="0" applyBorder="0" applyAlignment="0" applyProtection="0"/>
    <xf numFmtId="171" fontId="31" fillId="41" borderId="0" applyNumberFormat="0" applyBorder="0" applyAlignment="0" applyProtection="0"/>
    <xf numFmtId="171" fontId="34" fillId="39" borderId="0" applyNumberFormat="0" applyBorder="0" applyAlignment="0" applyProtection="0"/>
    <xf numFmtId="171" fontId="34" fillId="34" borderId="0" applyNumberFormat="0" applyBorder="0" applyAlignment="0" applyProtection="0"/>
    <xf numFmtId="171" fontId="31" fillId="35" borderId="0" applyNumberFormat="0" applyBorder="0" applyAlignment="0" applyProtection="0"/>
    <xf numFmtId="171" fontId="31" fillId="39" borderId="0" applyNumberFormat="0" applyBorder="0" applyAlignment="0" applyProtection="0"/>
    <xf numFmtId="171" fontId="34" fillId="39" borderId="0" applyNumberFormat="0" applyBorder="0" applyAlignment="0" applyProtection="0"/>
    <xf numFmtId="171" fontId="34" fillId="42" borderId="0" applyNumberFormat="0" applyBorder="0" applyAlignment="0" applyProtection="0"/>
    <xf numFmtId="171" fontId="31" fillId="43" borderId="0" applyNumberFormat="0" applyBorder="0" applyAlignment="0" applyProtection="0"/>
    <xf numFmtId="171" fontId="31" fillId="35" borderId="0" applyNumberFormat="0" applyBorder="0" applyAlignment="0" applyProtection="0"/>
    <xf numFmtId="171" fontId="34" fillId="36" borderId="0" applyNumberFormat="0" applyBorder="0" applyAlignment="0" applyProtection="0"/>
    <xf numFmtId="171" fontId="34" fillId="44" borderId="0" applyNumberFormat="0" applyBorder="0" applyAlignment="0" applyProtection="0"/>
    <xf numFmtId="171" fontId="31" fillId="38" borderId="0" applyNumberFormat="0" applyBorder="0" applyAlignment="0" applyProtection="0"/>
    <xf numFmtId="171" fontId="31" fillId="45" borderId="0" applyNumberFormat="0" applyBorder="0" applyAlignment="0" applyProtection="0"/>
    <xf numFmtId="171" fontId="34" fillId="45" borderId="0" applyNumberFormat="0" applyBorder="0" applyAlignment="0" applyProtection="0"/>
    <xf numFmtId="171" fontId="35" fillId="46" borderId="0" applyNumberFormat="0" applyBorder="0" applyAlignment="0" applyProtection="0"/>
    <xf numFmtId="171" fontId="36" fillId="47" borderId="74" applyNumberFormat="0" applyAlignment="0" applyProtection="0"/>
    <xf numFmtId="171" fontId="37" fillId="40" borderId="75" applyNumberFormat="0" applyAlignment="0" applyProtection="0"/>
    <xf numFmtId="171" fontId="38" fillId="48" borderId="0" applyNumberFormat="0" applyBorder="0" applyAlignment="0" applyProtection="0"/>
    <xf numFmtId="171" fontId="38" fillId="49" borderId="0" applyNumberFormat="0" applyBorder="0" applyAlignment="0" applyProtection="0"/>
    <xf numFmtId="171" fontId="38" fillId="50" borderId="0" applyNumberFormat="0" applyBorder="0" applyAlignment="0" applyProtection="0"/>
    <xf numFmtId="171" fontId="39" fillId="0" borderId="0" applyNumberFormat="0" applyFill="0" applyBorder="0" applyAlignment="0" applyProtection="0"/>
    <xf numFmtId="171" fontId="40" fillId="41" borderId="0" applyNumberFormat="0" applyBorder="0" applyAlignment="0" applyProtection="0"/>
    <xf numFmtId="171" fontId="41" fillId="0" borderId="76" applyNumberFormat="0" applyFill="0" applyAlignment="0" applyProtection="0"/>
    <xf numFmtId="171" fontId="42" fillId="0" borderId="77" applyNumberFormat="0" applyFill="0" applyAlignment="0" applyProtection="0"/>
    <xf numFmtId="171" fontId="43" fillId="0" borderId="78" applyNumberFormat="0" applyFill="0" applyAlignment="0" applyProtection="0"/>
    <xf numFmtId="171" fontId="43" fillId="0" borderId="0" applyNumberFormat="0" applyFill="0" applyBorder="0" applyAlignment="0" applyProtection="0"/>
    <xf numFmtId="171" fontId="44" fillId="45" borderId="74" applyNumberFormat="0" applyAlignment="0" applyProtection="0"/>
    <xf numFmtId="171" fontId="45" fillId="0" borderId="79" applyNumberFormat="0" applyFill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/>
    <xf numFmtId="171" fontId="12" fillId="38" borderId="73" applyNumberFormat="0" applyFont="0" applyAlignment="0" applyProtection="0"/>
    <xf numFmtId="171" fontId="46" fillId="47" borderId="80" applyNumberFormat="0" applyAlignment="0" applyProtection="0"/>
    <xf numFmtId="9" fontId="12" fillId="0" borderId="0" applyFont="0" applyFill="0" applyBorder="0" applyAlignment="0" applyProtection="0"/>
    <xf numFmtId="171" fontId="47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171" fontId="49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77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13" fillId="0" borderId="14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3" fontId="20" fillId="0" borderId="0" xfId="0" applyNumberFormat="1" applyFont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67" fontId="0" fillId="0" borderId="21" xfId="3" applyNumberFormat="1" applyFont="1" applyBorder="1" applyAlignment="1">
      <alignment vertical="center"/>
    </xf>
    <xf numFmtId="167" fontId="0" fillId="0" borderId="22" xfId="3" applyNumberFormat="1" applyFont="1" applyBorder="1" applyAlignment="1">
      <alignment vertical="center"/>
    </xf>
    <xf numFmtId="167" fontId="0" fillId="0" borderId="23" xfId="3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3" borderId="7" xfId="0" applyFont="1" applyFill="1" applyBorder="1" applyAlignment="1">
      <alignment horizontal="centerContinuous" vertical="center" wrapText="1"/>
    </xf>
    <xf numFmtId="0" fontId="15" fillId="3" borderId="6" xfId="0" applyFont="1" applyFill="1" applyBorder="1" applyAlignment="1">
      <alignment horizontal="centerContinuous" vertical="center" wrapText="1"/>
    </xf>
    <xf numFmtId="0" fontId="15" fillId="3" borderId="8" xfId="0" applyFont="1" applyFill="1" applyBorder="1" applyAlignment="1">
      <alignment horizontal="centerContinuous" vertical="center" wrapText="1"/>
    </xf>
    <xf numFmtId="0" fontId="15" fillId="3" borderId="9" xfId="0" applyFont="1" applyFill="1" applyBorder="1" applyAlignment="1">
      <alignment horizontal="centerContinuous" vertical="center" wrapText="1"/>
    </xf>
    <xf numFmtId="0" fontId="13" fillId="19" borderId="35" xfId="0" applyFont="1" applyFill="1" applyBorder="1" applyAlignment="1">
      <alignment horizontal="center" vertical="center"/>
    </xf>
    <xf numFmtId="167" fontId="13" fillId="19" borderId="20" xfId="3" applyNumberFormat="1" applyFont="1" applyFill="1" applyBorder="1" applyAlignment="1">
      <alignment horizontal="center" vertical="center"/>
    </xf>
    <xf numFmtId="167" fontId="13" fillId="19" borderId="17" xfId="3" applyNumberFormat="1" applyFont="1" applyFill="1" applyBorder="1" applyAlignment="1">
      <alignment horizontal="center" vertical="center"/>
    </xf>
    <xf numFmtId="3" fontId="13" fillId="19" borderId="20" xfId="0" applyNumberFormat="1" applyFont="1" applyFill="1" applyBorder="1" applyAlignment="1">
      <alignment vertical="center"/>
    </xf>
    <xf numFmtId="3" fontId="13" fillId="19" borderId="17" xfId="0" applyNumberFormat="1" applyFont="1" applyFill="1" applyBorder="1" applyAlignment="1">
      <alignment vertical="center"/>
    </xf>
    <xf numFmtId="164" fontId="23" fillId="18" borderId="30" xfId="1" applyFont="1" applyFill="1" applyBorder="1" applyAlignment="1">
      <alignment vertical="center"/>
    </xf>
    <xf numFmtId="167" fontId="0" fillId="0" borderId="18" xfId="3" applyNumberFormat="1" applyFont="1" applyFill="1" applyBorder="1" applyAlignment="1">
      <alignment horizontal="center" vertical="center"/>
    </xf>
    <xf numFmtId="167" fontId="0" fillId="0" borderId="14" xfId="3" applyNumberFormat="1" applyFont="1" applyFill="1" applyBorder="1" applyAlignment="1">
      <alignment horizontal="center" vertical="center"/>
    </xf>
    <xf numFmtId="167" fontId="0" fillId="0" borderId="19" xfId="3" applyNumberFormat="1" applyFont="1" applyFill="1" applyBorder="1" applyAlignment="1">
      <alignment horizontal="center" vertical="center"/>
    </xf>
    <xf numFmtId="167" fontId="0" fillId="0" borderId="15" xfId="3" applyNumberFormat="1" applyFont="1" applyFill="1" applyBorder="1" applyAlignment="1">
      <alignment horizontal="center" vertical="center"/>
    </xf>
    <xf numFmtId="167" fontId="20" fillId="0" borderId="0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7" fontId="13" fillId="19" borderId="17" xfId="3" applyNumberFormat="1" applyFont="1" applyFill="1" applyBorder="1" applyAlignment="1">
      <alignment vertical="center"/>
    </xf>
    <xf numFmtId="172" fontId="0" fillId="0" borderId="0" xfId="1" applyNumberFormat="1" applyFont="1" applyAlignment="1">
      <alignment vertical="center"/>
    </xf>
    <xf numFmtId="165" fontId="0" fillId="0" borderId="0" xfId="8" applyFont="1"/>
    <xf numFmtId="169" fontId="27" fillId="0" borderId="0" xfId="0" applyNumberFormat="1" applyFont="1"/>
    <xf numFmtId="169" fontId="25" fillId="0" borderId="0" xfId="0" applyNumberFormat="1" applyFont="1" applyAlignment="1">
      <alignment vertical="center"/>
    </xf>
    <xf numFmtId="0" fontId="25" fillId="0" borderId="0" xfId="0" applyFont="1" applyFill="1"/>
    <xf numFmtId="0" fontId="17" fillId="0" borderId="0" xfId="0" applyFont="1" applyFill="1" applyAlignment="1">
      <alignment vertical="center"/>
    </xf>
    <xf numFmtId="167" fontId="13" fillId="0" borderId="0" xfId="0" applyNumberFormat="1" applyFont="1" applyAlignment="1">
      <alignment vertical="center"/>
    </xf>
    <xf numFmtId="3" fontId="13" fillId="0" borderId="43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166" fontId="0" fillId="0" borderId="3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3" fillId="19" borderId="53" xfId="0" applyFont="1" applyFill="1" applyBorder="1" applyAlignment="1">
      <alignment horizontal="center" vertical="center"/>
    </xf>
    <xf numFmtId="169" fontId="32" fillId="3" borderId="30" xfId="198" applyNumberFormat="1" applyFont="1" applyFill="1" applyBorder="1" applyAlignment="1">
      <alignment horizontal="center" vertical="center" wrapText="1"/>
    </xf>
    <xf numFmtId="169" fontId="26" fillId="3" borderId="86" xfId="198" applyNumberFormat="1" applyFont="1" applyFill="1" applyBorder="1" applyAlignment="1">
      <alignment vertical="center"/>
    </xf>
    <xf numFmtId="169" fontId="32" fillId="3" borderId="86" xfId="198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3" fillId="19" borderId="17" xfId="3" applyNumberFormat="1" applyFont="1" applyFill="1" applyBorder="1" applyAlignment="1">
      <alignment horizontal="right" vertical="center" indent="2"/>
    </xf>
    <xf numFmtId="0" fontId="13" fillId="19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0" fontId="50" fillId="0" borderId="0" xfId="0" applyFont="1"/>
    <xf numFmtId="0" fontId="12" fillId="0" borderId="1" xfId="0" applyFont="1" applyBorder="1" applyAlignment="1">
      <alignment horizontal="center" vertical="center"/>
    </xf>
    <xf numFmtId="0" fontId="22" fillId="51" borderId="95" xfId="0" applyFont="1" applyFill="1" applyBorder="1" applyAlignment="1">
      <alignment horizontal="center" vertical="center" wrapText="1"/>
    </xf>
    <xf numFmtId="0" fontId="51" fillId="51" borderId="96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71" xfId="0" applyFont="1" applyBorder="1" applyAlignment="1">
      <alignment horizontal="center" vertical="center"/>
    </xf>
    <xf numFmtId="0" fontId="54" fillId="0" borderId="97" xfId="0" applyFont="1" applyBorder="1" applyAlignment="1">
      <alignment horizontal="center" vertical="center"/>
    </xf>
    <xf numFmtId="0" fontId="54" fillId="0" borderId="72" xfId="0" applyFont="1" applyBorder="1" applyAlignment="1">
      <alignment horizontal="center" vertical="center"/>
    </xf>
    <xf numFmtId="0" fontId="22" fillId="51" borderId="96" xfId="0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91" xfId="0" applyNumberFormat="1" applyFont="1" applyBorder="1" applyAlignment="1">
      <alignment horizontal="center" vertical="center"/>
    </xf>
    <xf numFmtId="4" fontId="5" fillId="0" borderId="98" xfId="0" applyNumberFormat="1" applyFont="1" applyBorder="1" applyAlignment="1">
      <alignment horizontal="center" vertical="center"/>
    </xf>
    <xf numFmtId="4" fontId="5" fillId="0" borderId="93" xfId="0" applyNumberFormat="1" applyFont="1" applyBorder="1" applyAlignment="1">
      <alignment horizontal="center" vertical="center"/>
    </xf>
    <xf numFmtId="0" fontId="22" fillId="51" borderId="99" xfId="0" applyFont="1" applyFill="1" applyBorder="1" applyAlignment="1">
      <alignment horizontal="center" vertical="center"/>
    </xf>
    <xf numFmtId="168" fontId="5" fillId="0" borderId="21" xfId="0" applyNumberFormat="1" applyFont="1" applyBorder="1" applyAlignment="1">
      <alignment horizontal="center" vertical="center"/>
    </xf>
    <xf numFmtId="168" fontId="5" fillId="0" borderId="91" xfId="0" applyNumberFormat="1" applyFont="1" applyBorder="1" applyAlignment="1">
      <alignment horizontal="center" vertical="center"/>
    </xf>
    <xf numFmtId="168" fontId="5" fillId="0" borderId="98" xfId="0" applyNumberFormat="1" applyFont="1" applyBorder="1" applyAlignment="1">
      <alignment horizontal="center" vertical="center"/>
    </xf>
    <xf numFmtId="168" fontId="5" fillId="0" borderId="93" xfId="0" applyNumberFormat="1" applyFont="1" applyBorder="1" applyAlignment="1">
      <alignment horizontal="center" vertical="center"/>
    </xf>
    <xf numFmtId="173" fontId="0" fillId="0" borderId="0" xfId="8" applyNumberFormat="1" applyFont="1"/>
    <xf numFmtId="168" fontId="5" fillId="0" borderId="21" xfId="0" applyNumberFormat="1" applyFont="1" applyFill="1" applyBorder="1" applyAlignment="1">
      <alignment horizontal="center" vertical="center"/>
    </xf>
    <xf numFmtId="168" fontId="5" fillId="0" borderId="91" xfId="0" applyNumberFormat="1" applyFont="1" applyFill="1" applyBorder="1" applyAlignment="1">
      <alignment horizontal="center" vertical="center"/>
    </xf>
    <xf numFmtId="168" fontId="5" fillId="0" borderId="98" xfId="0" applyNumberFormat="1" applyFont="1" applyFill="1" applyBorder="1" applyAlignment="1">
      <alignment horizontal="center" vertical="center"/>
    </xf>
    <xf numFmtId="168" fontId="5" fillId="0" borderId="93" xfId="0" applyNumberFormat="1" applyFont="1" applyFill="1" applyBorder="1" applyAlignment="1">
      <alignment horizontal="center" vertical="center"/>
    </xf>
    <xf numFmtId="174" fontId="0" fillId="0" borderId="0" xfId="0" applyNumberFormat="1"/>
    <xf numFmtId="168" fontId="5" fillId="0" borderId="13" xfId="0" applyNumberFormat="1" applyFont="1" applyFill="1" applyBorder="1" applyAlignment="1">
      <alignment horizontal="center" vertical="center"/>
    </xf>
    <xf numFmtId="168" fontId="5" fillId="0" borderId="92" xfId="0" applyNumberFormat="1" applyFont="1" applyFill="1" applyBorder="1" applyAlignment="1">
      <alignment horizontal="center" vertical="center"/>
    </xf>
    <xf numFmtId="168" fontId="5" fillId="0" borderId="70" xfId="0" applyNumberFormat="1" applyFont="1" applyFill="1" applyBorder="1" applyAlignment="1">
      <alignment horizontal="center" vertical="center"/>
    </xf>
    <xf numFmtId="168" fontId="5" fillId="0" borderId="83" xfId="0" applyNumberFormat="1" applyFont="1" applyFill="1" applyBorder="1" applyAlignment="1">
      <alignment horizontal="center" vertical="center"/>
    </xf>
    <xf numFmtId="175" fontId="0" fillId="0" borderId="0" xfId="8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170" fontId="23" fillId="0" borderId="82" xfId="8" applyNumberFormat="1" applyFont="1" applyBorder="1" applyAlignment="1">
      <alignment vertical="center"/>
    </xf>
    <xf numFmtId="170" fontId="23" fillId="0" borderId="104" xfId="8" applyNumberFormat="1" applyFont="1" applyBorder="1" applyAlignment="1">
      <alignment vertical="center"/>
    </xf>
    <xf numFmtId="170" fontId="23" fillId="0" borderId="32" xfId="8" applyNumberFormat="1" applyFont="1" applyBorder="1" applyAlignment="1">
      <alignment vertical="center"/>
    </xf>
    <xf numFmtId="170" fontId="23" fillId="0" borderId="37" xfId="8" applyNumberFormat="1" applyFont="1" applyBorder="1" applyAlignment="1">
      <alignment vertical="center"/>
    </xf>
    <xf numFmtId="167" fontId="23" fillId="0" borderId="105" xfId="0" applyNumberFormat="1" applyFont="1" applyBorder="1" applyAlignment="1">
      <alignment horizontal="center" vertical="center"/>
    </xf>
    <xf numFmtId="10" fontId="23" fillId="0" borderId="106" xfId="3" applyNumberFormat="1" applyFont="1" applyBorder="1" applyAlignment="1">
      <alignment horizontal="center" vertical="center"/>
    </xf>
    <xf numFmtId="10" fontId="23" fillId="0" borderId="38" xfId="3" applyNumberFormat="1" applyFont="1" applyBorder="1" applyAlignment="1">
      <alignment horizontal="center" vertical="center"/>
    </xf>
    <xf numFmtId="10" fontId="23" fillId="0" borderId="29" xfId="3" applyNumberFormat="1" applyFont="1" applyBorder="1" applyAlignment="1">
      <alignment horizontal="center" vertical="center"/>
    </xf>
    <xf numFmtId="0" fontId="22" fillId="52" borderId="16" xfId="0" applyFont="1" applyFill="1" applyBorder="1" applyAlignment="1">
      <alignment horizontal="center" vertical="center" wrapText="1"/>
    </xf>
    <xf numFmtId="0" fontId="22" fillId="52" borderId="51" xfId="0" applyFont="1" applyFill="1" applyBorder="1" applyAlignment="1">
      <alignment horizontal="center" vertical="center" wrapText="1"/>
    </xf>
    <xf numFmtId="0" fontId="22" fillId="53" borderId="100" xfId="0" applyFont="1" applyFill="1" applyBorder="1" applyAlignment="1">
      <alignment horizontal="centerContinuous" vertical="center" wrapText="1"/>
    </xf>
    <xf numFmtId="0" fontId="22" fillId="53" borderId="54" xfId="0" applyFont="1" applyFill="1" applyBorder="1" applyAlignment="1">
      <alignment horizontal="centerContinuous" vertical="center" wrapText="1"/>
    </xf>
    <xf numFmtId="0" fontId="22" fillId="53" borderId="55" xfId="0" applyFont="1" applyFill="1" applyBorder="1" applyAlignment="1">
      <alignment horizontal="centerContinuous" vertical="center" wrapText="1"/>
    </xf>
    <xf numFmtId="0" fontId="22" fillId="53" borderId="101" xfId="0" applyFont="1" applyFill="1" applyBorder="1" applyAlignment="1">
      <alignment horizontal="center" vertical="center" wrapText="1"/>
    </xf>
    <xf numFmtId="0" fontId="22" fillId="53" borderId="102" xfId="0" applyFont="1" applyFill="1" applyBorder="1" applyAlignment="1">
      <alignment horizontal="center" vertical="center" wrapText="1"/>
    </xf>
    <xf numFmtId="0" fontId="22" fillId="53" borderId="103" xfId="0" applyFont="1" applyFill="1" applyBorder="1" applyAlignment="1">
      <alignment horizontal="center" vertical="center" wrapText="1"/>
    </xf>
    <xf numFmtId="0" fontId="23" fillId="0" borderId="0" xfId="0" applyFont="1"/>
    <xf numFmtId="9" fontId="23" fillId="0" borderId="26" xfId="0" applyNumberFormat="1" applyFont="1" applyBorder="1" applyAlignment="1">
      <alignment horizontal="right" vertical="center" indent="1"/>
    </xf>
    <xf numFmtId="9" fontId="23" fillId="0" borderId="85" xfId="3" applyNumberFormat="1" applyFont="1" applyBorder="1" applyAlignment="1">
      <alignment horizontal="right" vertical="center" indent="1"/>
    </xf>
    <xf numFmtId="9" fontId="23" fillId="0" borderId="28" xfId="3" applyNumberFormat="1" applyFont="1" applyBorder="1" applyAlignment="1">
      <alignment horizontal="right" vertical="center" indent="1"/>
    </xf>
    <xf numFmtId="167" fontId="23" fillId="0" borderId="81" xfId="3" applyNumberFormat="1" applyFont="1" applyBorder="1" applyAlignment="1">
      <alignment horizontal="right" vertical="center" indent="1"/>
    </xf>
    <xf numFmtId="170" fontId="23" fillId="0" borderId="27" xfId="8" applyNumberFormat="1" applyFont="1" applyBorder="1" applyAlignment="1">
      <alignment vertical="center"/>
    </xf>
    <xf numFmtId="170" fontId="23" fillId="0" borderId="38" xfId="8" applyNumberFormat="1" applyFont="1" applyBorder="1" applyAlignment="1">
      <alignment vertical="center"/>
    </xf>
    <xf numFmtId="170" fontId="23" fillId="0" borderId="29" xfId="8" applyNumberFormat="1" applyFont="1" applyBorder="1" applyAlignment="1">
      <alignment vertical="center"/>
    </xf>
    <xf numFmtId="170" fontId="23" fillId="0" borderId="105" xfId="8" applyNumberFormat="1" applyFont="1" applyBorder="1" applyAlignment="1">
      <alignment vertical="center"/>
    </xf>
    <xf numFmtId="170" fontId="23" fillId="0" borderId="0" xfId="8" applyNumberFormat="1" applyFont="1" applyBorder="1" applyAlignment="1">
      <alignment vertical="center"/>
    </xf>
    <xf numFmtId="0" fontId="15" fillId="2" borderId="60" xfId="212" applyFont="1" applyFill="1" applyBorder="1" applyAlignment="1">
      <alignment horizontal="centerContinuous" vertical="center" wrapText="1"/>
    </xf>
    <xf numFmtId="0" fontId="15" fillId="2" borderId="39" xfId="212" applyFont="1" applyFill="1" applyBorder="1" applyAlignment="1">
      <alignment horizontal="centerContinuous" vertical="center" wrapText="1"/>
    </xf>
    <xf numFmtId="0" fontId="15" fillId="2" borderId="31" xfId="212" applyFont="1" applyFill="1" applyBorder="1" applyAlignment="1">
      <alignment horizontal="centerContinuous" vertical="center" wrapText="1"/>
    </xf>
    <xf numFmtId="0" fontId="32" fillId="51" borderId="6" xfId="0" applyFont="1" applyFill="1" applyBorder="1" applyAlignment="1">
      <alignment horizontal="centerContinuous" vertical="center" wrapText="1"/>
    </xf>
    <xf numFmtId="0" fontId="32" fillId="51" borderId="7" xfId="0" applyFont="1" applyFill="1" applyBorder="1" applyAlignment="1">
      <alignment horizontal="centerContinuous" vertical="center" wrapText="1"/>
    </xf>
    <xf numFmtId="0" fontId="32" fillId="51" borderId="5" xfId="0" applyFont="1" applyFill="1" applyBorder="1" applyAlignment="1">
      <alignment horizontal="centerContinuous" vertical="center" wrapText="1"/>
    </xf>
    <xf numFmtId="0" fontId="32" fillId="51" borderId="8" xfId="0" applyFont="1" applyFill="1" applyBorder="1" applyAlignment="1">
      <alignment horizontal="centerContinuous" vertical="center" wrapText="1"/>
    </xf>
    <xf numFmtId="0" fontId="32" fillId="51" borderId="9" xfId="0" applyFont="1" applyFill="1" applyBorder="1" applyAlignment="1">
      <alignment horizontal="centerContinuous" vertical="center" wrapText="1"/>
    </xf>
    <xf numFmtId="0" fontId="32" fillId="51" borderId="40" xfId="0" applyFont="1" applyFill="1" applyBorder="1" applyAlignment="1">
      <alignment horizontal="centerContinuous" vertical="center" wrapText="1"/>
    </xf>
    <xf numFmtId="167" fontId="4" fillId="0" borderId="18" xfId="3" applyNumberFormat="1" applyFont="1" applyFill="1" applyBorder="1" applyAlignment="1">
      <alignment vertical="center"/>
    </xf>
    <xf numFmtId="167" fontId="4" fillId="0" borderId="14" xfId="3" applyNumberFormat="1" applyFont="1" applyFill="1" applyBorder="1" applyAlignment="1">
      <alignment vertical="center"/>
    </xf>
    <xf numFmtId="170" fontId="4" fillId="0" borderId="33" xfId="8" applyNumberFormat="1" applyFont="1" applyFill="1" applyBorder="1" applyAlignment="1">
      <alignment horizontal="center" vertical="center"/>
    </xf>
    <xf numFmtId="170" fontId="4" fillId="0" borderId="18" xfId="8" applyNumberFormat="1" applyFont="1" applyFill="1" applyBorder="1" applyAlignment="1">
      <alignment horizontal="center" vertical="center"/>
    </xf>
    <xf numFmtId="170" fontId="4" fillId="0" borderId="14" xfId="8" applyNumberFormat="1" applyFont="1" applyFill="1" applyBorder="1" applyAlignment="1">
      <alignment horizontal="center" vertical="center"/>
    </xf>
    <xf numFmtId="167" fontId="4" fillId="0" borderId="19" xfId="3" applyNumberFormat="1" applyFont="1" applyFill="1" applyBorder="1" applyAlignment="1">
      <alignment vertical="center"/>
    </xf>
    <xf numFmtId="167" fontId="4" fillId="0" borderId="15" xfId="3" applyNumberFormat="1" applyFont="1" applyFill="1" applyBorder="1" applyAlignment="1">
      <alignment vertical="center"/>
    </xf>
    <xf numFmtId="170" fontId="4" fillId="0" borderId="34" xfId="8" applyNumberFormat="1" applyFont="1" applyFill="1" applyBorder="1" applyAlignment="1">
      <alignment horizontal="center" vertical="center"/>
    </xf>
    <xf numFmtId="170" fontId="4" fillId="0" borderId="19" xfId="8" applyNumberFormat="1" applyFont="1" applyFill="1" applyBorder="1" applyAlignment="1">
      <alignment horizontal="center" vertical="center"/>
    </xf>
    <xf numFmtId="170" fontId="4" fillId="0" borderId="15" xfId="8" applyNumberFormat="1" applyFont="1" applyFill="1" applyBorder="1" applyAlignment="1">
      <alignment horizontal="center" vertical="center"/>
    </xf>
    <xf numFmtId="167" fontId="4" fillId="0" borderId="0" xfId="3" applyNumberFormat="1" applyFont="1"/>
    <xf numFmtId="170" fontId="4" fillId="0" borderId="0" xfId="8" applyNumberFormat="1" applyFont="1" applyAlignment="1">
      <alignment horizontal="center"/>
    </xf>
    <xf numFmtId="167" fontId="13" fillId="19" borderId="20" xfId="3" applyNumberFormat="1" applyFont="1" applyFill="1" applyBorder="1" applyAlignment="1">
      <alignment vertical="center"/>
    </xf>
    <xf numFmtId="170" fontId="13" fillId="19" borderId="35" xfId="8" applyNumberFormat="1" applyFont="1" applyFill="1" applyBorder="1" applyAlignment="1">
      <alignment horizontal="center" vertical="center"/>
    </xf>
    <xf numFmtId="170" fontId="13" fillId="19" borderId="20" xfId="8" applyNumberFormat="1" applyFont="1" applyFill="1" applyBorder="1" applyAlignment="1">
      <alignment horizontal="center" vertical="center"/>
    </xf>
    <xf numFmtId="170" fontId="13" fillId="19" borderId="17" xfId="8" applyNumberFormat="1" applyFont="1" applyFill="1" applyBorder="1" applyAlignment="1">
      <alignment horizontal="center" vertical="center"/>
    </xf>
    <xf numFmtId="0" fontId="22" fillId="52" borderId="68" xfId="0" applyFont="1" applyFill="1" applyBorder="1" applyAlignment="1">
      <alignment horizontal="center" vertical="center" wrapText="1"/>
    </xf>
    <xf numFmtId="0" fontId="22" fillId="53" borderId="107" xfId="0" applyFont="1" applyFill="1" applyBorder="1" applyAlignment="1">
      <alignment horizontal="center" vertical="center" wrapText="1"/>
    </xf>
    <xf numFmtId="0" fontId="22" fillId="53" borderId="90" xfId="0" applyFont="1" applyFill="1" applyBorder="1" applyAlignment="1">
      <alignment horizontal="center" vertical="center" wrapText="1"/>
    </xf>
    <xf numFmtId="0" fontId="22" fillId="53" borderId="108" xfId="0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vertical="center"/>
    </xf>
    <xf numFmtId="170" fontId="4" fillId="0" borderId="81" xfId="0" applyNumberFormat="1" applyFont="1" applyBorder="1" applyAlignment="1">
      <alignment vertical="center"/>
    </xf>
    <xf numFmtId="167" fontId="4" fillId="0" borderId="11" xfId="3" applyNumberFormat="1" applyFont="1" applyFill="1" applyBorder="1" applyAlignment="1">
      <alignment vertical="center"/>
    </xf>
    <xf numFmtId="167" fontId="4" fillId="0" borderId="12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32" fillId="51" borderId="112" xfId="0" applyFont="1" applyFill="1" applyBorder="1" applyAlignment="1">
      <alignment horizontal="centerContinuous" vertical="center" wrapText="1"/>
    </xf>
    <xf numFmtId="0" fontId="32" fillId="51" borderId="113" xfId="0" applyFont="1" applyFill="1" applyBorder="1" applyAlignment="1">
      <alignment horizontal="centerContinuous" vertical="center" wrapText="1"/>
    </xf>
    <xf numFmtId="167" fontId="13" fillId="19" borderId="10" xfId="3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70" fontId="22" fillId="51" borderId="66" xfId="8" applyNumberFormat="1" applyFont="1" applyFill="1" applyBorder="1" applyAlignment="1">
      <alignment horizontal="center" vertical="center"/>
    </xf>
    <xf numFmtId="170" fontId="22" fillId="51" borderId="96" xfId="8" applyNumberFormat="1" applyFont="1" applyFill="1" applyBorder="1" applyAlignment="1">
      <alignment horizontal="center" vertical="center"/>
    </xf>
    <xf numFmtId="170" fontId="22" fillId="51" borderId="99" xfId="8" applyNumberFormat="1" applyFont="1" applyFill="1" applyBorder="1" applyAlignment="1">
      <alignment horizontal="center" vertical="center"/>
    </xf>
    <xf numFmtId="170" fontId="4" fillId="0" borderId="1" xfId="8" applyNumberFormat="1" applyFont="1" applyBorder="1" applyAlignment="1">
      <alignment horizontal="center" vertical="center"/>
    </xf>
    <xf numFmtId="170" fontId="4" fillId="0" borderId="21" xfId="8" applyNumberFormat="1" applyFont="1" applyBorder="1" applyAlignment="1">
      <alignment horizontal="center" vertical="center"/>
    </xf>
    <xf numFmtId="170" fontId="4" fillId="0" borderId="13" xfId="8" applyNumberFormat="1" applyFont="1" applyBorder="1" applyAlignment="1">
      <alignment horizontal="center" vertical="center"/>
    </xf>
    <xf numFmtId="170" fontId="4" fillId="0" borderId="58" xfId="8" applyNumberFormat="1" applyFont="1" applyBorder="1" applyAlignment="1">
      <alignment horizontal="center" vertical="center"/>
    </xf>
    <xf numFmtId="170" fontId="4" fillId="0" borderId="91" xfId="8" applyNumberFormat="1" applyFont="1" applyBorder="1" applyAlignment="1">
      <alignment horizontal="center" vertical="center"/>
    </xf>
    <xf numFmtId="170" fontId="4" fillId="0" borderId="92" xfId="8" applyNumberFormat="1" applyFont="1" applyBorder="1" applyAlignment="1">
      <alignment horizontal="center" vertical="center"/>
    </xf>
    <xf numFmtId="170" fontId="4" fillId="0" borderId="69" xfId="8" applyNumberFormat="1" applyFont="1" applyBorder="1" applyAlignment="1">
      <alignment horizontal="center" vertical="center"/>
    </xf>
    <xf numFmtId="170" fontId="4" fillId="0" borderId="98" xfId="8" applyNumberFormat="1" applyFont="1" applyBorder="1" applyAlignment="1">
      <alignment horizontal="center" vertical="center"/>
    </xf>
    <xf numFmtId="170" fontId="4" fillId="0" borderId="70" xfId="8" applyNumberFormat="1" applyFont="1" applyBorder="1" applyAlignment="1">
      <alignment horizontal="center" vertical="center"/>
    </xf>
    <xf numFmtId="170" fontId="4" fillId="0" borderId="59" xfId="8" applyNumberFormat="1" applyFont="1" applyBorder="1" applyAlignment="1">
      <alignment horizontal="center" vertical="center"/>
    </xf>
    <xf numFmtId="170" fontId="4" fillId="0" borderId="93" xfId="8" applyNumberFormat="1" applyFont="1" applyBorder="1" applyAlignment="1">
      <alignment horizontal="center" vertical="center"/>
    </xf>
    <xf numFmtId="170" fontId="4" fillId="0" borderId="83" xfId="8" applyNumberFormat="1" applyFont="1" applyBorder="1" applyAlignment="1">
      <alignment horizontal="center" vertical="center"/>
    </xf>
    <xf numFmtId="170" fontId="22" fillId="51" borderId="54" xfId="8" applyNumberFormat="1" applyFont="1" applyFill="1" applyBorder="1" applyAlignment="1">
      <alignment horizontal="centerContinuous" vertical="center" wrapText="1"/>
    </xf>
    <xf numFmtId="170" fontId="22" fillId="51" borderId="55" xfId="8" applyNumberFormat="1" applyFont="1" applyFill="1" applyBorder="1" applyAlignment="1">
      <alignment horizontal="centerContinuous" vertical="center" wrapText="1"/>
    </xf>
    <xf numFmtId="170" fontId="22" fillId="51" borderId="115" xfId="8" applyNumberFormat="1" applyFont="1" applyFill="1" applyBorder="1" applyAlignment="1">
      <alignment horizontal="center" vertical="center"/>
    </xf>
    <xf numFmtId="170" fontId="22" fillId="51" borderId="116" xfId="8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0" fontId="4" fillId="0" borderId="0" xfId="8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0" fontId="4" fillId="0" borderId="21" xfId="8" applyNumberFormat="1" applyFont="1" applyBorder="1" applyAlignment="1">
      <alignment vertical="center"/>
    </xf>
    <xf numFmtId="170" fontId="4" fillId="0" borderId="13" xfId="8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0" fontId="4" fillId="0" borderId="22" xfId="8" applyNumberFormat="1" applyFont="1" applyBorder="1" applyAlignment="1">
      <alignment vertical="center"/>
    </xf>
    <xf numFmtId="170" fontId="4" fillId="0" borderId="14" xfId="8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0" fontId="4" fillId="0" borderId="23" xfId="8" applyNumberFormat="1" applyFont="1" applyBorder="1" applyAlignment="1">
      <alignment vertical="center"/>
    </xf>
    <xf numFmtId="170" fontId="4" fillId="0" borderId="15" xfId="8" applyNumberFormat="1" applyFont="1" applyBorder="1" applyAlignment="1">
      <alignment vertical="center"/>
    </xf>
    <xf numFmtId="0" fontId="22" fillId="2" borderId="35" xfId="0" applyFont="1" applyFill="1" applyBorder="1" applyAlignment="1">
      <alignment horizontal="centerContinuous" vertical="center"/>
    </xf>
    <xf numFmtId="0" fontId="22" fillId="2" borderId="10" xfId="0" applyFont="1" applyFill="1" applyBorder="1" applyAlignment="1">
      <alignment horizontal="centerContinuous" vertical="center"/>
    </xf>
    <xf numFmtId="0" fontId="22" fillId="2" borderId="36" xfId="0" applyFont="1" applyFill="1" applyBorder="1" applyAlignment="1">
      <alignment horizontal="centerContinuous" vertical="center"/>
    </xf>
    <xf numFmtId="170" fontId="22" fillId="51" borderId="56" xfId="8" applyNumberFormat="1" applyFont="1" applyFill="1" applyBorder="1" applyAlignment="1">
      <alignment horizontal="centerContinuous" vertical="center" wrapText="1"/>
    </xf>
    <xf numFmtId="170" fontId="22" fillId="51" borderId="114" xfId="8" applyNumberFormat="1" applyFont="1" applyFill="1" applyBorder="1" applyAlignment="1">
      <alignment horizontal="center" vertical="center"/>
    </xf>
    <xf numFmtId="170" fontId="4" fillId="0" borderId="1" xfId="8" applyNumberFormat="1" applyFont="1" applyBorder="1" applyAlignment="1">
      <alignment vertical="center"/>
    </xf>
    <xf numFmtId="170" fontId="4" fillId="0" borderId="2" xfId="8" applyNumberFormat="1" applyFont="1" applyBorder="1" applyAlignment="1">
      <alignment vertical="center"/>
    </xf>
    <xf numFmtId="170" fontId="4" fillId="0" borderId="3" xfId="8" applyNumberFormat="1" applyFont="1" applyBorder="1" applyAlignment="1">
      <alignment vertical="center"/>
    </xf>
    <xf numFmtId="0" fontId="12" fillId="0" borderId="21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67" fontId="12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9" fontId="25" fillId="0" borderId="0" xfId="198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center" vertical="center"/>
    </xf>
    <xf numFmtId="3" fontId="0" fillId="0" borderId="0" xfId="0" applyNumberFormat="1"/>
    <xf numFmtId="177" fontId="0" fillId="0" borderId="0" xfId="0" applyNumberFormat="1"/>
    <xf numFmtId="178" fontId="0" fillId="0" borderId="21" xfId="8" applyNumberFormat="1" applyFont="1" applyBorder="1"/>
    <xf numFmtId="178" fontId="0" fillId="0" borderId="22" xfId="8" applyNumberFormat="1" applyFont="1" applyBorder="1"/>
    <xf numFmtId="178" fontId="0" fillId="0" borderId="1" xfId="8" applyNumberFormat="1" applyFont="1" applyBorder="1"/>
    <xf numFmtId="178" fontId="0" fillId="0" borderId="13" xfId="8" applyNumberFormat="1" applyFont="1" applyBorder="1"/>
    <xf numFmtId="178" fontId="0" fillId="0" borderId="2" xfId="8" applyNumberFormat="1" applyFont="1" applyBorder="1"/>
    <xf numFmtId="178" fontId="0" fillId="0" borderId="14" xfId="8" applyNumberFormat="1" applyFont="1" applyBorder="1"/>
    <xf numFmtId="178" fontId="0" fillId="0" borderId="3" xfId="8" applyNumberFormat="1" applyFont="1" applyBorder="1"/>
    <xf numFmtId="178" fontId="0" fillId="0" borderId="23" xfId="8" applyNumberFormat="1" applyFont="1" applyBorder="1"/>
    <xf numFmtId="178" fontId="0" fillId="0" borderId="15" xfId="8" applyNumberFormat="1" applyFont="1" applyBorder="1"/>
    <xf numFmtId="176" fontId="4" fillId="0" borderId="21" xfId="8" applyNumberFormat="1" applyFont="1" applyBorder="1" applyAlignment="1">
      <alignment vertical="center"/>
    </xf>
    <xf numFmtId="176" fontId="4" fillId="0" borderId="13" xfId="8" applyNumberFormat="1" applyFont="1" applyBorder="1" applyAlignment="1">
      <alignment vertical="center"/>
    </xf>
    <xf numFmtId="176" fontId="4" fillId="0" borderId="22" xfId="8" applyNumberFormat="1" applyFont="1" applyBorder="1" applyAlignment="1">
      <alignment vertical="center"/>
    </xf>
    <xf numFmtId="176" fontId="4" fillId="0" borderId="14" xfId="8" applyNumberFormat="1" applyFont="1" applyBorder="1" applyAlignment="1">
      <alignment vertical="center"/>
    </xf>
    <xf numFmtId="176" fontId="4" fillId="0" borderId="23" xfId="8" applyNumberFormat="1" applyFont="1" applyBorder="1" applyAlignment="1">
      <alignment vertical="center"/>
    </xf>
    <xf numFmtId="176" fontId="4" fillId="0" borderId="15" xfId="8" applyNumberFormat="1" applyFont="1" applyBorder="1" applyAlignment="1">
      <alignment vertical="center"/>
    </xf>
    <xf numFmtId="179" fontId="4" fillId="0" borderId="1" xfId="8" applyNumberFormat="1" applyFont="1" applyBorder="1" applyAlignment="1">
      <alignment vertical="center"/>
    </xf>
    <xf numFmtId="179" fontId="4" fillId="0" borderId="21" xfId="8" applyNumberFormat="1" applyFont="1" applyBorder="1" applyAlignment="1">
      <alignment vertical="center"/>
    </xf>
    <xf numFmtId="179" fontId="4" fillId="0" borderId="13" xfId="8" applyNumberFormat="1" applyFont="1" applyBorder="1" applyAlignment="1">
      <alignment vertical="center"/>
    </xf>
    <xf numFmtId="179" fontId="4" fillId="0" borderId="2" xfId="8" applyNumberFormat="1" applyFont="1" applyBorder="1" applyAlignment="1">
      <alignment vertical="center"/>
    </xf>
    <xf numFmtId="179" fontId="4" fillId="0" borderId="22" xfId="8" applyNumberFormat="1" applyFont="1" applyBorder="1" applyAlignment="1">
      <alignment vertical="center"/>
    </xf>
    <xf numFmtId="179" fontId="4" fillId="0" borderId="14" xfId="8" applyNumberFormat="1" applyFont="1" applyBorder="1" applyAlignment="1">
      <alignment vertical="center"/>
    </xf>
    <xf numFmtId="179" fontId="4" fillId="0" borderId="3" xfId="8" applyNumberFormat="1" applyFont="1" applyBorder="1" applyAlignment="1">
      <alignment vertical="center"/>
    </xf>
    <xf numFmtId="179" fontId="4" fillId="0" borderId="23" xfId="8" applyNumberFormat="1" applyFont="1" applyBorder="1" applyAlignment="1">
      <alignment vertical="center"/>
    </xf>
    <xf numFmtId="179" fontId="4" fillId="0" borderId="15" xfId="8" applyNumberFormat="1" applyFont="1" applyBorder="1" applyAlignment="1">
      <alignment vertical="center"/>
    </xf>
    <xf numFmtId="170" fontId="0" fillId="0" borderId="0" xfId="0" applyNumberFormat="1"/>
    <xf numFmtId="0" fontId="12" fillId="0" borderId="0" xfId="0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0" fontId="22" fillId="2" borderId="3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4" fillId="0" borderId="120" xfId="0" applyFont="1" applyBorder="1" applyAlignment="1">
      <alignment horizontal="center" vertical="center"/>
    </xf>
    <xf numFmtId="176" fontId="4" fillId="0" borderId="121" xfId="8" applyNumberFormat="1" applyFont="1" applyBorder="1" applyAlignment="1">
      <alignment vertical="center"/>
    </xf>
    <xf numFmtId="176" fontId="4" fillId="0" borderId="122" xfId="8" applyNumberFormat="1" applyFont="1" applyBorder="1" applyAlignment="1">
      <alignment vertical="center"/>
    </xf>
    <xf numFmtId="0" fontId="4" fillId="0" borderId="123" xfId="0" applyFont="1" applyBorder="1" applyAlignment="1">
      <alignment horizontal="center" vertical="center"/>
    </xf>
    <xf numFmtId="176" fontId="4" fillId="0" borderId="124" xfId="8" applyNumberFormat="1" applyFont="1" applyBorder="1" applyAlignment="1">
      <alignment vertical="center"/>
    </xf>
    <xf numFmtId="176" fontId="4" fillId="0" borderId="125" xfId="8" applyNumberFormat="1" applyFont="1" applyBorder="1" applyAlignment="1">
      <alignment vertical="center"/>
    </xf>
    <xf numFmtId="0" fontId="3" fillId="0" borderId="126" xfId="0" applyFont="1" applyBorder="1" applyAlignment="1">
      <alignment horizontal="center" vertical="center"/>
    </xf>
    <xf numFmtId="176" fontId="4" fillId="0" borderId="127" xfId="8" applyNumberFormat="1" applyFont="1" applyBorder="1" applyAlignment="1">
      <alignment vertical="center"/>
    </xf>
    <xf numFmtId="176" fontId="4" fillId="0" borderId="128" xfId="8" applyNumberFormat="1" applyFont="1" applyBorder="1" applyAlignment="1">
      <alignment vertical="center"/>
    </xf>
    <xf numFmtId="179" fontId="0" fillId="0" borderId="98" xfId="0" applyNumberFormat="1" applyBorder="1"/>
    <xf numFmtId="179" fontId="0" fillId="0" borderId="22" xfId="0" applyNumberFormat="1" applyBorder="1"/>
    <xf numFmtId="179" fontId="0" fillId="0" borderId="70" xfId="0" applyNumberFormat="1" applyBorder="1"/>
    <xf numFmtId="179" fontId="0" fillId="0" borderId="2" xfId="0" applyNumberFormat="1" applyBorder="1"/>
    <xf numFmtId="179" fontId="0" fillId="0" borderId="14" xfId="0" applyNumberFormat="1" applyBorder="1"/>
    <xf numFmtId="179" fontId="0" fillId="0" borderId="3" xfId="0" applyNumberFormat="1" applyBorder="1"/>
    <xf numFmtId="179" fontId="0" fillId="0" borderId="23" xfId="0" applyNumberFormat="1" applyBorder="1"/>
    <xf numFmtId="179" fontId="0" fillId="0" borderId="15" xfId="0" applyNumberFormat="1" applyBorder="1"/>
    <xf numFmtId="180" fontId="0" fillId="0" borderId="0" xfId="0" applyNumberFormat="1"/>
    <xf numFmtId="170" fontId="22" fillId="51" borderId="115" xfId="8" applyNumberFormat="1" applyFont="1" applyFill="1" applyBorder="1" applyAlignment="1">
      <alignment horizontal="center" vertical="center" wrapText="1"/>
    </xf>
    <xf numFmtId="180" fontId="0" fillId="0" borderId="121" xfId="8" applyNumberFormat="1" applyFont="1" applyBorder="1"/>
    <xf numFmtId="180" fontId="0" fillId="0" borderId="121" xfId="0" applyNumberFormat="1" applyBorder="1"/>
    <xf numFmtId="180" fontId="0" fillId="0" borderId="124" xfId="8" applyNumberFormat="1" applyFont="1" applyBorder="1"/>
    <xf numFmtId="180" fontId="0" fillId="0" borderId="124" xfId="0" applyNumberFormat="1" applyBorder="1"/>
    <xf numFmtId="167" fontId="0" fillId="0" borderId="122" xfId="3" applyNumberFormat="1" applyFont="1" applyBorder="1" applyAlignment="1">
      <alignment horizontal="right" indent="1"/>
    </xf>
    <xf numFmtId="167" fontId="0" fillId="0" borderId="125" xfId="3" applyNumberFormat="1" applyFont="1" applyBorder="1" applyAlignment="1">
      <alignment horizontal="right" indent="1"/>
    </xf>
    <xf numFmtId="180" fontId="0" fillId="0" borderId="127" xfId="8" applyNumberFormat="1" applyFont="1" applyBorder="1"/>
    <xf numFmtId="180" fontId="0" fillId="0" borderId="127" xfId="0" applyNumberFormat="1" applyBorder="1"/>
    <xf numFmtId="167" fontId="0" fillId="0" borderId="128" xfId="3" applyNumberFormat="1" applyFont="1" applyBorder="1" applyAlignment="1">
      <alignment horizontal="right" indent="1"/>
    </xf>
    <xf numFmtId="170" fontId="4" fillId="19" borderId="23" xfId="8" applyNumberFormat="1" applyFont="1" applyFill="1" applyBorder="1" applyAlignment="1">
      <alignment vertical="center"/>
    </xf>
    <xf numFmtId="170" fontId="4" fillId="19" borderId="15" xfId="8" applyNumberFormat="1" applyFont="1" applyFill="1" applyBorder="1" applyAlignment="1">
      <alignment vertical="center"/>
    </xf>
    <xf numFmtId="0" fontId="4" fillId="19" borderId="3" xfId="0" applyFont="1" applyFill="1" applyBorder="1" applyAlignment="1">
      <alignment horizontal="center" vertical="center"/>
    </xf>
    <xf numFmtId="170" fontId="4" fillId="19" borderId="3" xfId="8" applyNumberFormat="1" applyFont="1" applyFill="1" applyBorder="1" applyAlignment="1">
      <alignment vertical="center"/>
    </xf>
    <xf numFmtId="179" fontId="4" fillId="19" borderId="3" xfId="8" applyNumberFormat="1" applyFont="1" applyFill="1" applyBorder="1" applyAlignment="1">
      <alignment vertical="center"/>
    </xf>
    <xf numFmtId="179" fontId="4" fillId="19" borderId="23" xfId="8" applyNumberFormat="1" applyFont="1" applyFill="1" applyBorder="1" applyAlignment="1">
      <alignment vertical="center"/>
    </xf>
    <xf numFmtId="179" fontId="4" fillId="19" borderId="15" xfId="8" applyNumberFormat="1" applyFont="1" applyFill="1" applyBorder="1" applyAlignment="1">
      <alignment vertical="center"/>
    </xf>
    <xf numFmtId="176" fontId="4" fillId="19" borderId="23" xfId="8" applyNumberFormat="1" applyFont="1" applyFill="1" applyBorder="1" applyAlignment="1">
      <alignment vertical="center"/>
    </xf>
    <xf numFmtId="176" fontId="4" fillId="19" borderId="15" xfId="8" applyNumberFormat="1" applyFont="1" applyFill="1" applyBorder="1" applyAlignment="1">
      <alignment vertical="center"/>
    </xf>
    <xf numFmtId="0" fontId="3" fillId="19" borderId="126" xfId="0" applyFont="1" applyFill="1" applyBorder="1" applyAlignment="1">
      <alignment horizontal="center" vertical="center"/>
    </xf>
    <xf numFmtId="176" fontId="4" fillId="19" borderId="127" xfId="8" applyNumberFormat="1" applyFont="1" applyFill="1" applyBorder="1" applyAlignment="1">
      <alignment vertical="center"/>
    </xf>
    <xf numFmtId="176" fontId="4" fillId="19" borderId="128" xfId="8" applyNumberFormat="1" applyFont="1" applyFill="1" applyBorder="1" applyAlignment="1">
      <alignment vertical="center"/>
    </xf>
    <xf numFmtId="179" fontId="0" fillId="19" borderId="3" xfId="0" applyNumberFormat="1" applyFill="1" applyBorder="1"/>
    <xf numFmtId="179" fontId="0" fillId="19" borderId="23" xfId="0" applyNumberFormat="1" applyFill="1" applyBorder="1"/>
    <xf numFmtId="179" fontId="0" fillId="19" borderId="15" xfId="0" applyNumberFormat="1" applyFill="1" applyBorder="1"/>
    <xf numFmtId="178" fontId="0" fillId="19" borderId="23" xfId="8" applyNumberFormat="1" applyFont="1" applyFill="1" applyBorder="1"/>
    <xf numFmtId="178" fontId="0" fillId="19" borderId="15" xfId="8" applyNumberFormat="1" applyFont="1" applyFill="1" applyBorder="1"/>
    <xf numFmtId="178" fontId="0" fillId="19" borderId="3" xfId="8" applyNumberFormat="1" applyFont="1" applyFill="1" applyBorder="1"/>
    <xf numFmtId="180" fontId="0" fillId="19" borderId="127" xfId="8" applyNumberFormat="1" applyFont="1" applyFill="1" applyBorder="1"/>
    <xf numFmtId="180" fontId="0" fillId="19" borderId="127" xfId="0" applyNumberFormat="1" applyFill="1" applyBorder="1"/>
    <xf numFmtId="167" fontId="0" fillId="19" borderId="128" xfId="3" applyNumberFormat="1" applyFont="1" applyFill="1" applyBorder="1" applyAlignment="1">
      <alignment horizontal="right" indent="1"/>
    </xf>
    <xf numFmtId="0" fontId="13" fillId="0" borderId="0" xfId="0" applyFont="1" applyBorder="1" applyAlignment="1">
      <alignment horizontal="left" vertical="center" indent="1"/>
    </xf>
    <xf numFmtId="180" fontId="13" fillId="0" borderId="0" xfId="8" applyNumberFormat="1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167" fontId="13" fillId="0" borderId="0" xfId="3" applyNumberFormat="1" applyFont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/>
    </xf>
    <xf numFmtId="170" fontId="4" fillId="0" borderId="23" xfId="8" applyNumberFormat="1" applyFont="1" applyFill="1" applyBorder="1" applyAlignment="1">
      <alignment vertical="center"/>
    </xf>
    <xf numFmtId="170" fontId="4" fillId="0" borderId="15" xfId="8" applyNumberFormat="1" applyFont="1" applyFill="1" applyBorder="1" applyAlignment="1">
      <alignment vertical="center"/>
    </xf>
    <xf numFmtId="0" fontId="0" fillId="0" borderId="0" xfId="0" applyFill="1"/>
    <xf numFmtId="179" fontId="4" fillId="0" borderId="23" xfId="8" applyNumberFormat="1" applyFont="1" applyFill="1" applyBorder="1" applyAlignment="1">
      <alignment vertical="center"/>
    </xf>
    <xf numFmtId="179" fontId="4" fillId="0" borderId="15" xfId="8" applyNumberFormat="1" applyFont="1" applyFill="1" applyBorder="1" applyAlignment="1">
      <alignment vertical="center"/>
    </xf>
    <xf numFmtId="170" fontId="4" fillId="0" borderId="52" xfId="8" applyNumberFormat="1" applyFont="1" applyBorder="1" applyAlignment="1">
      <alignment vertical="center"/>
    </xf>
    <xf numFmtId="170" fontId="4" fillId="0" borderId="41" xfId="8" applyNumberFormat="1" applyFont="1" applyBorder="1" applyAlignment="1">
      <alignment vertical="center"/>
    </xf>
    <xf numFmtId="170" fontId="4" fillId="0" borderId="42" xfId="8" applyNumberFormat="1" applyFont="1" applyFill="1" applyBorder="1" applyAlignment="1">
      <alignment vertical="center"/>
    </xf>
    <xf numFmtId="179" fontId="4" fillId="0" borderId="52" xfId="8" applyNumberFormat="1" applyFont="1" applyBorder="1" applyAlignment="1">
      <alignment vertical="center"/>
    </xf>
    <xf numFmtId="179" fontId="4" fillId="0" borderId="41" xfId="8" applyNumberFormat="1" applyFont="1" applyBorder="1" applyAlignment="1">
      <alignment vertical="center"/>
    </xf>
    <xf numFmtId="179" fontId="4" fillId="0" borderId="42" xfId="8" applyNumberFormat="1" applyFont="1" applyFill="1" applyBorder="1" applyAlignment="1">
      <alignment vertical="center"/>
    </xf>
    <xf numFmtId="178" fontId="0" fillId="0" borderId="23" xfId="8" applyNumberFormat="1" applyFont="1" applyFill="1" applyBorder="1"/>
    <xf numFmtId="178" fontId="0" fillId="0" borderId="15" xfId="8" applyNumberFormat="1" applyFont="1" applyFill="1" applyBorder="1"/>
    <xf numFmtId="178" fontId="0" fillId="0" borderId="3" xfId="8" applyNumberFormat="1" applyFont="1" applyFill="1" applyBorder="1"/>
    <xf numFmtId="173" fontId="0" fillId="0" borderId="0" xfId="0" applyNumberFormat="1"/>
    <xf numFmtId="180" fontId="0" fillId="0" borderId="0" xfId="8" applyNumberFormat="1" applyFont="1"/>
    <xf numFmtId="165" fontId="0" fillId="0" borderId="0" xfId="0" applyNumberFormat="1"/>
    <xf numFmtId="170" fontId="2" fillId="0" borderId="0" xfId="8" applyNumberFormat="1" applyFont="1" applyBorder="1" applyAlignment="1">
      <alignment vertical="center"/>
    </xf>
    <xf numFmtId="181" fontId="0" fillId="0" borderId="0" xfId="0" applyNumberFormat="1"/>
    <xf numFmtId="0" fontId="32" fillId="2" borderId="35" xfId="0" applyFont="1" applyFill="1" applyBorder="1" applyAlignment="1">
      <alignment horizontal="centerContinuous" vertical="center"/>
    </xf>
    <xf numFmtId="10" fontId="0" fillId="0" borderId="0" xfId="0" applyNumberFormat="1"/>
    <xf numFmtId="167" fontId="0" fillId="0" borderId="0" xfId="3" applyNumberFormat="1" applyFont="1"/>
    <xf numFmtId="10" fontId="0" fillId="0" borderId="0" xfId="3" applyNumberFormat="1" applyFont="1"/>
    <xf numFmtId="180" fontId="0" fillId="0" borderId="0" xfId="0" applyNumberFormat="1" applyFill="1" applyBorder="1"/>
    <xf numFmtId="167" fontId="0" fillId="0" borderId="0" xfId="3" applyNumberFormat="1" applyFont="1" applyFill="1" applyBorder="1" applyAlignment="1">
      <alignment horizontal="right" indent="1"/>
    </xf>
    <xf numFmtId="167" fontId="0" fillId="0" borderId="0" xfId="3" applyNumberFormat="1" applyFont="1" applyAlignment="1">
      <alignment vertical="center"/>
    </xf>
    <xf numFmtId="170" fontId="4" fillId="0" borderId="0" xfId="0" applyNumberFormat="1" applyFont="1"/>
    <xf numFmtId="167" fontId="0" fillId="0" borderId="131" xfId="3" applyNumberFormat="1" applyFont="1" applyBorder="1" applyAlignment="1">
      <alignment vertical="center"/>
    </xf>
    <xf numFmtId="167" fontId="0" fillId="0" borderId="18" xfId="3" applyNumberFormat="1" applyFont="1" applyBorder="1" applyAlignment="1">
      <alignment vertical="center"/>
    </xf>
    <xf numFmtId="0" fontId="0" fillId="0" borderId="131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180" fontId="0" fillId="0" borderId="0" xfId="8" applyNumberFormat="1" applyFont="1" applyAlignment="1">
      <alignment vertical="center"/>
    </xf>
    <xf numFmtId="184" fontId="0" fillId="0" borderId="0" xfId="0" applyNumberFormat="1" applyAlignment="1">
      <alignment vertical="center"/>
    </xf>
    <xf numFmtId="185" fontId="0" fillId="0" borderId="0" xfId="8" applyNumberFormat="1" applyFont="1" applyAlignment="1">
      <alignment vertical="center"/>
    </xf>
    <xf numFmtId="3" fontId="13" fillId="0" borderId="14" xfId="0" applyNumberFormat="1" applyFont="1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167" fontId="13" fillId="0" borderId="0" xfId="3" applyNumberFormat="1" applyFont="1" applyAlignment="1">
      <alignment vertical="center"/>
    </xf>
    <xf numFmtId="186" fontId="0" fillId="0" borderId="0" xfId="0" applyNumberFormat="1"/>
    <xf numFmtId="170" fontId="22" fillId="51" borderId="116" xfId="8" applyNumberFormat="1" applyFont="1" applyFill="1" applyBorder="1" applyAlignment="1">
      <alignment horizontal="center" vertical="center" wrapText="1"/>
    </xf>
    <xf numFmtId="0" fontId="1" fillId="0" borderId="0" xfId="313" applyFont="1"/>
    <xf numFmtId="170" fontId="22" fillId="51" borderId="54" xfId="315" applyNumberFormat="1" applyFont="1" applyFill="1" applyBorder="1" applyAlignment="1">
      <alignment horizontal="centerContinuous" vertical="center" wrapText="1"/>
    </xf>
    <xf numFmtId="170" fontId="22" fillId="51" borderId="55" xfId="315" applyNumberFormat="1" applyFont="1" applyFill="1" applyBorder="1" applyAlignment="1">
      <alignment horizontal="centerContinuous" vertical="center" wrapText="1"/>
    </xf>
    <xf numFmtId="0" fontId="1" fillId="0" borderId="0" xfId="313" applyFont="1" applyAlignment="1">
      <alignment vertical="center"/>
    </xf>
    <xf numFmtId="170" fontId="22" fillId="51" borderId="115" xfId="315" applyNumberFormat="1" applyFont="1" applyFill="1" applyBorder="1" applyAlignment="1">
      <alignment horizontal="center" vertical="center"/>
    </xf>
    <xf numFmtId="170" fontId="22" fillId="51" borderId="116" xfId="315" applyNumberFormat="1" applyFont="1" applyFill="1" applyBorder="1" applyAlignment="1">
      <alignment horizontal="center" vertical="center"/>
    </xf>
    <xf numFmtId="0" fontId="1" fillId="0" borderId="59" xfId="313" applyFont="1" applyBorder="1" applyAlignment="1">
      <alignment horizontal="center" vertical="center"/>
    </xf>
    <xf numFmtId="170" fontId="1" fillId="0" borderId="93" xfId="315" applyNumberFormat="1" applyFont="1" applyBorder="1" applyAlignment="1">
      <alignment vertical="center"/>
    </xf>
    <xf numFmtId="170" fontId="1" fillId="0" borderId="83" xfId="315" applyNumberFormat="1" applyFont="1" applyBorder="1" applyAlignment="1">
      <alignment vertical="center"/>
    </xf>
    <xf numFmtId="43" fontId="1" fillId="0" borderId="0" xfId="315" applyFont="1"/>
    <xf numFmtId="170" fontId="1" fillId="0" borderId="0" xfId="315" applyNumberFormat="1" applyFont="1"/>
    <xf numFmtId="0" fontId="1" fillId="0" borderId="84" xfId="313" applyFont="1" applyBorder="1" applyAlignment="1">
      <alignment horizontal="left" vertical="center"/>
    </xf>
    <xf numFmtId="167" fontId="1" fillId="0" borderId="132" xfId="314" applyNumberFormat="1" applyFont="1" applyBorder="1" applyAlignment="1">
      <alignment horizontal="right" vertical="center" indent="1"/>
    </xf>
    <xf numFmtId="167" fontId="1" fillId="0" borderId="64" xfId="314" applyNumberFormat="1" applyFont="1" applyBorder="1" applyAlignment="1">
      <alignment horizontal="right" vertical="center" indent="1"/>
    </xf>
    <xf numFmtId="167" fontId="1" fillId="0" borderId="91" xfId="314" applyNumberFormat="1" applyFont="1" applyBorder="1" applyAlignment="1">
      <alignment horizontal="right" vertical="center" indent="1"/>
    </xf>
    <xf numFmtId="0" fontId="1" fillId="0" borderId="118" xfId="313" applyFont="1" applyBorder="1" applyAlignment="1">
      <alignment horizontal="left" vertical="center"/>
    </xf>
    <xf numFmtId="9" fontId="1" fillId="0" borderId="0" xfId="314" applyFont="1"/>
    <xf numFmtId="170" fontId="1" fillId="0" borderId="132" xfId="313" applyNumberFormat="1" applyFont="1" applyBorder="1" applyAlignment="1">
      <alignment vertical="center"/>
    </xf>
    <xf numFmtId="170" fontId="1" fillId="0" borderId="64" xfId="313" applyNumberFormat="1" applyFont="1" applyBorder="1" applyAlignment="1">
      <alignment vertical="center"/>
    </xf>
    <xf numFmtId="170" fontId="1" fillId="0" borderId="51" xfId="313" applyNumberFormat="1" applyFont="1" applyBorder="1" applyAlignment="1">
      <alignment vertical="center"/>
    </xf>
    <xf numFmtId="170" fontId="1" fillId="0" borderId="91" xfId="313" applyNumberFormat="1" applyFont="1" applyBorder="1" applyAlignment="1">
      <alignment vertical="center"/>
    </xf>
    <xf numFmtId="170" fontId="1" fillId="0" borderId="93" xfId="313" applyNumberFormat="1" applyFont="1" applyBorder="1" applyAlignment="1">
      <alignment vertical="center"/>
    </xf>
    <xf numFmtId="170" fontId="1" fillId="0" borderId="65" xfId="313" applyNumberFormat="1" applyFont="1" applyBorder="1" applyAlignment="1">
      <alignment vertical="center"/>
    </xf>
    <xf numFmtId="170" fontId="1" fillId="0" borderId="68" xfId="313" applyNumberFormat="1" applyFont="1" applyBorder="1" applyAlignment="1">
      <alignment vertical="center"/>
    </xf>
    <xf numFmtId="0" fontId="1" fillId="0" borderId="1" xfId="313" applyFont="1" applyBorder="1" applyAlignment="1">
      <alignment horizontal="center" vertical="center"/>
    </xf>
    <xf numFmtId="176" fontId="1" fillId="0" borderId="21" xfId="315" applyNumberFormat="1" applyFont="1" applyBorder="1" applyAlignment="1">
      <alignment vertical="center"/>
    </xf>
    <xf numFmtId="176" fontId="1" fillId="0" borderId="13" xfId="315" applyNumberFormat="1" applyFont="1" applyBorder="1" applyAlignment="1">
      <alignment vertical="center"/>
    </xf>
    <xf numFmtId="176" fontId="1" fillId="0" borderId="93" xfId="315" applyNumberFormat="1" applyFont="1" applyBorder="1" applyAlignment="1">
      <alignment vertical="center"/>
    </xf>
    <xf numFmtId="176" fontId="1" fillId="0" borderId="83" xfId="315" applyNumberFormat="1" applyFont="1" applyBorder="1" applyAlignment="1">
      <alignment vertical="center"/>
    </xf>
    <xf numFmtId="180" fontId="1" fillId="0" borderId="93" xfId="8" applyNumberFormat="1" applyFont="1" applyBorder="1" applyAlignment="1">
      <alignment vertical="center"/>
    </xf>
    <xf numFmtId="180" fontId="1" fillId="0" borderId="83" xfId="8" applyNumberFormat="1" applyFont="1" applyBorder="1" applyAlignment="1">
      <alignment vertical="center"/>
    </xf>
    <xf numFmtId="0" fontId="1" fillId="0" borderId="84" xfId="313" applyFont="1" applyBorder="1" applyAlignment="1">
      <alignment horizontal="left" vertical="center" indent="1"/>
    </xf>
    <xf numFmtId="0" fontId="1" fillId="0" borderId="118" xfId="313" applyFont="1" applyBorder="1" applyAlignment="1">
      <alignment horizontal="left" vertical="center" indent="1"/>
    </xf>
    <xf numFmtId="180" fontId="1" fillId="0" borderId="21" xfId="8" applyNumberFormat="1" applyFont="1" applyBorder="1" applyAlignment="1">
      <alignment vertical="center"/>
    </xf>
    <xf numFmtId="180" fontId="1" fillId="0" borderId="13" xfId="8" applyNumberFormat="1" applyFont="1" applyBorder="1" applyAlignment="1">
      <alignment vertical="center"/>
    </xf>
    <xf numFmtId="0" fontId="1" fillId="0" borderId="0" xfId="313" applyFont="1" applyBorder="1" applyAlignment="1">
      <alignment horizontal="left" vertical="center"/>
    </xf>
    <xf numFmtId="167" fontId="1" fillId="0" borderId="0" xfId="314" applyNumberFormat="1" applyFont="1" applyBorder="1" applyAlignment="1">
      <alignment horizontal="right" vertical="center" indent="1"/>
    </xf>
    <xf numFmtId="170" fontId="23" fillId="0" borderId="51" xfId="313" applyNumberFormat="1" applyFont="1" applyBorder="1" applyAlignment="1">
      <alignment vertical="center"/>
    </xf>
    <xf numFmtId="170" fontId="1" fillId="0" borderId="92" xfId="313" applyNumberFormat="1" applyFont="1" applyBorder="1" applyAlignment="1">
      <alignment vertical="center"/>
    </xf>
    <xf numFmtId="0" fontId="1" fillId="0" borderId="0" xfId="313" applyFont="1" applyBorder="1" applyAlignment="1">
      <alignment horizontal="center" vertical="center"/>
    </xf>
    <xf numFmtId="179" fontId="1" fillId="0" borderId="0" xfId="315" applyNumberFormat="1" applyFont="1" applyBorder="1" applyAlignment="1">
      <alignment vertical="center"/>
    </xf>
    <xf numFmtId="0" fontId="1" fillId="0" borderId="1" xfId="313" applyFont="1" applyBorder="1" applyAlignment="1">
      <alignment horizontal="left" vertical="center" indent="1"/>
    </xf>
    <xf numFmtId="0" fontId="23" fillId="0" borderId="84" xfId="313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 indent="1"/>
    </xf>
    <xf numFmtId="0" fontId="1" fillId="0" borderId="126" xfId="0" applyFont="1" applyBorder="1" applyAlignment="1">
      <alignment horizontal="left" vertical="center" indent="1"/>
    </xf>
    <xf numFmtId="173" fontId="0" fillId="0" borderId="124" xfId="8" applyNumberFormat="1" applyFont="1" applyBorder="1"/>
    <xf numFmtId="173" fontId="0" fillId="0" borderId="125" xfId="8" applyNumberFormat="1" applyFont="1" applyBorder="1"/>
    <xf numFmtId="0" fontId="4" fillId="0" borderId="126" xfId="0" applyFont="1" applyBorder="1" applyAlignment="1">
      <alignment horizontal="left" vertical="center" indent="1"/>
    </xf>
    <xf numFmtId="173" fontId="0" fillId="0" borderId="127" xfId="8" applyNumberFormat="1" applyFont="1" applyBorder="1"/>
    <xf numFmtId="173" fontId="0" fillId="0" borderId="128" xfId="8" applyNumberFormat="1" applyFont="1" applyBorder="1"/>
    <xf numFmtId="187" fontId="1" fillId="0" borderId="52" xfId="8" applyNumberFormat="1" applyFont="1" applyBorder="1" applyAlignment="1">
      <alignment vertical="center"/>
    </xf>
    <xf numFmtId="175" fontId="1" fillId="0" borderId="21" xfId="8" applyNumberFormat="1" applyFont="1" applyBorder="1" applyAlignment="1">
      <alignment vertical="center"/>
    </xf>
    <xf numFmtId="175" fontId="1" fillId="0" borderId="13" xfId="8" applyNumberFormat="1" applyFont="1" applyBorder="1" applyAlignment="1">
      <alignment vertical="center"/>
    </xf>
    <xf numFmtId="180" fontId="0" fillId="0" borderId="124" xfId="8" applyNumberFormat="1" applyFont="1" applyBorder="1" applyAlignment="1">
      <alignment vertical="center"/>
    </xf>
    <xf numFmtId="167" fontId="0" fillId="0" borderId="125" xfId="3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9" fontId="0" fillId="0" borderId="0" xfId="0" applyNumberFormat="1"/>
    <xf numFmtId="170" fontId="22" fillId="51" borderId="135" xfId="315" applyNumberFormat="1" applyFont="1" applyFill="1" applyBorder="1" applyAlignment="1">
      <alignment horizontal="centerContinuous" vertical="center" wrapText="1"/>
    </xf>
    <xf numFmtId="0" fontId="1" fillId="0" borderId="136" xfId="313" applyFont="1" applyBorder="1" applyAlignment="1">
      <alignment horizontal="left" vertical="center" indent="1"/>
    </xf>
    <xf numFmtId="187" fontId="1" fillId="0" borderId="137" xfId="8" applyNumberFormat="1" applyFont="1" applyBorder="1" applyAlignment="1">
      <alignment vertical="center"/>
    </xf>
    <xf numFmtId="175" fontId="1" fillId="0" borderId="133" xfId="8" applyNumberFormat="1" applyFont="1" applyBorder="1" applyAlignment="1">
      <alignment vertical="center"/>
    </xf>
    <xf numFmtId="175" fontId="1" fillId="0" borderId="138" xfId="8" applyNumberFormat="1" applyFont="1" applyBorder="1" applyAlignment="1">
      <alignment vertical="center"/>
    </xf>
    <xf numFmtId="0" fontId="4" fillId="0" borderId="139" xfId="0" applyFont="1" applyBorder="1" applyAlignment="1">
      <alignment horizontal="left" vertical="center" indent="1"/>
    </xf>
    <xf numFmtId="180" fontId="1" fillId="0" borderId="51" xfId="313" applyNumberFormat="1" applyFont="1" applyBorder="1" applyAlignment="1">
      <alignment vertical="center"/>
    </xf>
    <xf numFmtId="180" fontId="1" fillId="0" borderId="68" xfId="313" applyNumberFormat="1" applyFont="1" applyBorder="1" applyAlignment="1">
      <alignment vertical="center"/>
    </xf>
    <xf numFmtId="167" fontId="0" fillId="0" borderId="13" xfId="3" applyNumberFormat="1" applyFont="1" applyBorder="1" applyAlignment="1">
      <alignment vertical="center"/>
    </xf>
    <xf numFmtId="167" fontId="0" fillId="0" borderId="14" xfId="3" applyNumberFormat="1" applyFont="1" applyBorder="1" applyAlignment="1">
      <alignment vertical="center"/>
    </xf>
    <xf numFmtId="0" fontId="0" fillId="0" borderId="19" xfId="0" applyBorder="1" applyAlignment="1">
      <alignment horizontal="right" vertical="center" indent="1"/>
    </xf>
    <xf numFmtId="167" fontId="0" fillId="0" borderId="19" xfId="3" applyNumberFormat="1" applyFont="1" applyBorder="1" applyAlignment="1">
      <alignment vertical="center"/>
    </xf>
    <xf numFmtId="167" fontId="0" fillId="0" borderId="15" xfId="3" applyNumberFormat="1" applyFont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/>
    <xf numFmtId="0" fontId="62" fillId="0" borderId="0" xfId="0" applyFont="1"/>
    <xf numFmtId="182" fontId="0" fillId="0" borderId="0" xfId="0" applyNumberFormat="1"/>
    <xf numFmtId="0" fontId="23" fillId="19" borderId="27" xfId="313" applyFont="1" applyFill="1" applyBorder="1" applyAlignment="1">
      <alignment horizontal="left" vertical="center" indent="1"/>
    </xf>
    <xf numFmtId="187" fontId="23" fillId="19" borderId="106" xfId="8" applyNumberFormat="1" applyFont="1" applyFill="1" applyBorder="1" applyAlignment="1">
      <alignment vertical="center"/>
    </xf>
    <xf numFmtId="175" fontId="23" fillId="19" borderId="38" xfId="8" applyNumberFormat="1" applyFont="1" applyFill="1" applyBorder="1" applyAlignment="1">
      <alignment vertical="center"/>
    </xf>
    <xf numFmtId="175" fontId="23" fillId="19" borderId="29" xfId="8" applyNumberFormat="1" applyFont="1" applyFill="1" applyBorder="1" applyAlignment="1">
      <alignment vertical="center"/>
    </xf>
    <xf numFmtId="179" fontId="23" fillId="19" borderId="38" xfId="315" applyNumberFormat="1" applyFont="1" applyFill="1" applyBorder="1" applyAlignment="1">
      <alignment vertical="center"/>
    </xf>
    <xf numFmtId="179" fontId="23" fillId="19" borderId="29" xfId="315" applyNumberFormat="1" applyFont="1" applyFill="1" applyBorder="1" applyAlignment="1">
      <alignment vertical="center"/>
    </xf>
    <xf numFmtId="167" fontId="23" fillId="19" borderId="38" xfId="314" applyNumberFormat="1" applyFont="1" applyFill="1" applyBorder="1" applyAlignment="1">
      <alignment horizontal="right" vertical="center" indent="1"/>
    </xf>
    <xf numFmtId="167" fontId="23" fillId="19" borderId="29" xfId="314" applyNumberFormat="1" applyFont="1" applyFill="1" applyBorder="1" applyAlignment="1">
      <alignment horizontal="right" vertical="center" indent="1"/>
    </xf>
    <xf numFmtId="0" fontId="64" fillId="0" borderId="0" xfId="0" applyFont="1"/>
    <xf numFmtId="180" fontId="13" fillId="19" borderId="24" xfId="8" applyNumberFormat="1" applyFont="1" applyFill="1" applyBorder="1" applyAlignment="1">
      <alignment vertical="center"/>
    </xf>
    <xf numFmtId="180" fontId="13" fillId="19" borderId="24" xfId="0" applyNumberFormat="1" applyFont="1" applyFill="1" applyBorder="1" applyAlignment="1">
      <alignment vertical="center"/>
    </xf>
    <xf numFmtId="167" fontId="13" fillId="19" borderId="17" xfId="3" applyNumberFormat="1" applyFont="1" applyFill="1" applyBorder="1" applyAlignment="1">
      <alignment horizontal="right" vertical="center" indent="1"/>
    </xf>
    <xf numFmtId="0" fontId="23" fillId="19" borderId="59" xfId="0" applyFont="1" applyFill="1" applyBorder="1" applyAlignment="1">
      <alignment horizontal="left" vertical="center" indent="1"/>
    </xf>
    <xf numFmtId="0" fontId="17" fillId="0" borderId="94" xfId="0" applyFont="1" applyBorder="1"/>
    <xf numFmtId="0" fontId="64" fillId="0" borderId="94" xfId="0" applyFont="1" applyBorder="1"/>
    <xf numFmtId="0" fontId="13" fillId="19" borderId="4" xfId="0" applyFont="1" applyFill="1" applyBorder="1" applyAlignment="1">
      <alignment vertical="center"/>
    </xf>
    <xf numFmtId="167" fontId="13" fillId="19" borderId="17" xfId="3" applyNumberFormat="1" applyFont="1" applyFill="1" applyBorder="1" applyAlignment="1">
      <alignment horizontal="right" vertical="center"/>
    </xf>
    <xf numFmtId="0" fontId="23" fillId="19" borderId="126" xfId="0" applyFont="1" applyFill="1" applyBorder="1" applyAlignment="1">
      <alignment horizontal="left" vertical="center" indent="1"/>
    </xf>
    <xf numFmtId="180" fontId="13" fillId="19" borderId="127" xfId="8" applyNumberFormat="1" applyFont="1" applyFill="1" applyBorder="1" applyAlignment="1">
      <alignment vertical="center"/>
    </xf>
    <xf numFmtId="167" fontId="13" fillId="19" borderId="128" xfId="3" applyNumberFormat="1" applyFont="1" applyFill="1" applyBorder="1" applyAlignment="1">
      <alignment horizontal="right" vertical="center" indent="1"/>
    </xf>
    <xf numFmtId="0" fontId="63" fillId="0" borderId="0" xfId="0" applyFont="1" applyAlignment="1">
      <alignment vertical="center"/>
    </xf>
    <xf numFmtId="0" fontId="17" fillId="0" borderId="0" xfId="0" applyFont="1" applyBorder="1"/>
    <xf numFmtId="0" fontId="64" fillId="0" borderId="0" xfId="0" applyFont="1" applyBorder="1"/>
    <xf numFmtId="179" fontId="0" fillId="0" borderId="120" xfId="0" applyNumberFormat="1" applyBorder="1" applyAlignment="1">
      <alignment vertical="center"/>
    </xf>
    <xf numFmtId="179" fontId="0" fillId="0" borderId="121" xfId="0" applyNumberFormat="1" applyBorder="1" applyAlignment="1">
      <alignment vertical="center"/>
    </xf>
    <xf numFmtId="179" fontId="0" fillId="0" borderId="123" xfId="0" applyNumberFormat="1" applyBorder="1" applyAlignment="1">
      <alignment vertical="center"/>
    </xf>
    <xf numFmtId="179" fontId="0" fillId="0" borderId="124" xfId="0" applyNumberFormat="1" applyBorder="1" applyAlignment="1">
      <alignment vertical="center"/>
    </xf>
    <xf numFmtId="179" fontId="0" fillId="0" borderId="125" xfId="0" applyNumberFormat="1" applyBorder="1" applyAlignment="1">
      <alignment vertical="center"/>
    </xf>
    <xf numFmtId="179" fontId="0" fillId="0" borderId="126" xfId="0" applyNumberFormat="1" applyBorder="1" applyAlignment="1">
      <alignment vertical="center"/>
    </xf>
    <xf numFmtId="179" fontId="0" fillId="0" borderId="127" xfId="0" applyNumberFormat="1" applyBorder="1" applyAlignment="1">
      <alignment vertical="center"/>
    </xf>
    <xf numFmtId="179" fontId="0" fillId="0" borderId="128" xfId="0" applyNumberFormat="1" applyBorder="1" applyAlignment="1">
      <alignment vertical="center"/>
    </xf>
    <xf numFmtId="180" fontId="0" fillId="0" borderId="98" xfId="8" applyNumberFormat="1" applyFont="1" applyBorder="1" applyAlignment="1">
      <alignment vertical="center"/>
    </xf>
    <xf numFmtId="180" fontId="0" fillId="0" borderId="70" xfId="8" applyNumberFormat="1" applyFont="1" applyBorder="1" applyAlignment="1">
      <alignment vertical="center"/>
    </xf>
    <xf numFmtId="180" fontId="0" fillId="0" borderId="22" xfId="8" applyNumberFormat="1" applyFont="1" applyBorder="1" applyAlignment="1">
      <alignment vertical="center"/>
    </xf>
    <xf numFmtId="180" fontId="0" fillId="0" borderId="43" xfId="8" applyNumberFormat="1" applyFont="1" applyBorder="1" applyAlignment="1">
      <alignment vertical="center"/>
    </xf>
    <xf numFmtId="180" fontId="0" fillId="0" borderId="23" xfId="8" applyNumberFormat="1" applyFont="1" applyBorder="1" applyAlignment="1">
      <alignment vertical="center"/>
    </xf>
    <xf numFmtId="180" fontId="0" fillId="0" borderId="44" xfId="8" applyNumberFormat="1" applyFont="1" applyBorder="1" applyAlignment="1">
      <alignment vertical="center"/>
    </xf>
    <xf numFmtId="180" fontId="13" fillId="0" borderId="0" xfId="8" applyNumberFormat="1" applyFont="1" applyAlignment="1">
      <alignment vertical="center"/>
    </xf>
    <xf numFmtId="180" fontId="13" fillId="19" borderId="20" xfId="8" applyNumberFormat="1" applyFont="1" applyFill="1" applyBorder="1" applyAlignment="1">
      <alignment vertical="center"/>
    </xf>
    <xf numFmtId="180" fontId="13" fillId="19" borderId="17" xfId="8" applyNumberFormat="1" applyFont="1" applyFill="1" applyBorder="1" applyAlignment="1">
      <alignment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166" fontId="12" fillId="0" borderId="130" xfId="1" applyNumberFormat="1" applyFont="1" applyBorder="1" applyAlignment="1">
      <alignment horizontal="center" vertical="center"/>
    </xf>
    <xf numFmtId="166" fontId="0" fillId="0" borderId="130" xfId="1" applyNumberFormat="1" applyFont="1" applyBorder="1" applyAlignment="1">
      <alignment horizontal="center" vertical="center"/>
    </xf>
    <xf numFmtId="166" fontId="0" fillId="0" borderId="27" xfId="1" applyNumberFormat="1" applyFont="1" applyBorder="1" applyAlignment="1">
      <alignment horizontal="center" vertical="center"/>
    </xf>
    <xf numFmtId="0" fontId="15" fillId="3" borderId="95" xfId="0" applyFont="1" applyFill="1" applyBorder="1" applyAlignment="1">
      <alignment horizontal="left" vertical="center" wrapText="1" indent="1"/>
    </xf>
    <xf numFmtId="0" fontId="15" fillId="3" borderId="117" xfId="0" applyFont="1" applyFill="1" applyBorder="1" applyAlignment="1">
      <alignment horizontal="left" vertical="center" wrapText="1" indent="1"/>
    </xf>
    <xf numFmtId="0" fontId="15" fillId="3" borderId="49" xfId="0" applyFont="1" applyFill="1" applyBorder="1" applyAlignment="1">
      <alignment horizontal="left" vertical="center" wrapText="1" indent="1"/>
    </xf>
    <xf numFmtId="0" fontId="15" fillId="3" borderId="119" xfId="0" applyFont="1" applyFill="1" applyBorder="1" applyAlignment="1">
      <alignment horizontal="left" vertical="center" wrapText="1" inden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68" xfId="0" applyFont="1" applyFill="1" applyBorder="1" applyAlignment="1">
      <alignment horizontal="center" vertical="center" wrapText="1"/>
    </xf>
    <xf numFmtId="0" fontId="32" fillId="51" borderId="57" xfId="0" applyFont="1" applyFill="1" applyBorder="1" applyAlignment="1">
      <alignment horizontal="center" vertical="center" wrapText="1"/>
    </xf>
    <xf numFmtId="0" fontId="32" fillId="51" borderId="114" xfId="0" applyFont="1" applyFill="1" applyBorder="1" applyAlignment="1">
      <alignment horizontal="center" vertical="center" wrapText="1"/>
    </xf>
    <xf numFmtId="0" fontId="32" fillId="2" borderId="87" xfId="0" applyFont="1" applyFill="1" applyBorder="1" applyAlignment="1">
      <alignment vertical="center" wrapText="1"/>
    </xf>
    <xf numFmtId="0" fontId="32" fillId="2" borderId="88" xfId="0" applyFont="1" applyFill="1" applyBorder="1" applyAlignment="1">
      <alignment vertical="center" wrapText="1"/>
    </xf>
    <xf numFmtId="0" fontId="32" fillId="2" borderId="89" xfId="0" applyFont="1" applyFill="1" applyBorder="1" applyAlignment="1">
      <alignment vertical="center" wrapText="1"/>
    </xf>
    <xf numFmtId="0" fontId="32" fillId="2" borderId="118" xfId="0" applyFont="1" applyFill="1" applyBorder="1" applyAlignment="1">
      <alignment horizontal="left" vertical="center" wrapText="1"/>
    </xf>
    <xf numFmtId="0" fontId="32" fillId="2" borderId="142" xfId="0" applyFont="1" applyFill="1" applyBorder="1" applyAlignment="1">
      <alignment horizontal="left" vertical="center" wrapText="1"/>
    </xf>
    <xf numFmtId="0" fontId="32" fillId="2" borderId="65" xfId="0" applyFont="1" applyFill="1" applyBorder="1" applyAlignment="1">
      <alignment horizontal="left" vertical="center" wrapText="1"/>
    </xf>
    <xf numFmtId="0" fontId="32" fillId="2" borderId="109" xfId="0" applyFont="1" applyFill="1" applyBorder="1" applyAlignment="1">
      <alignment vertical="center" wrapText="1"/>
    </xf>
    <xf numFmtId="0" fontId="32" fillId="2" borderId="110" xfId="0" applyFont="1" applyFill="1" applyBorder="1" applyAlignment="1">
      <alignment vertical="center" wrapText="1"/>
    </xf>
    <xf numFmtId="0" fontId="32" fillId="2" borderId="111" xfId="0" applyFont="1" applyFill="1" applyBorder="1" applyAlignment="1">
      <alignment vertical="center" wrapText="1"/>
    </xf>
    <xf numFmtId="0" fontId="32" fillId="2" borderId="84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69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170" fontId="22" fillId="51" borderId="49" xfId="8" applyNumberFormat="1" applyFont="1" applyFill="1" applyBorder="1" applyAlignment="1">
      <alignment horizontal="center" vertical="center" wrapText="1"/>
    </xf>
    <xf numFmtId="170" fontId="22" fillId="51" borderId="50" xfId="8" applyNumberFormat="1" applyFont="1" applyFill="1" applyBorder="1" applyAlignment="1">
      <alignment horizontal="center" vertical="center" wrapText="1"/>
    </xf>
    <xf numFmtId="170" fontId="22" fillId="51" borderId="129" xfId="8" applyNumberFormat="1" applyFont="1" applyFill="1" applyBorder="1" applyAlignment="1">
      <alignment horizontal="center" vertical="center" wrapText="1"/>
    </xf>
    <xf numFmtId="170" fontId="22" fillId="51" borderId="116" xfId="8" applyNumberFormat="1" applyFont="1" applyFill="1" applyBorder="1" applyAlignment="1">
      <alignment horizontal="center" vertical="center" wrapText="1"/>
    </xf>
    <xf numFmtId="170" fontId="22" fillId="51" borderId="49" xfId="315" applyNumberFormat="1" applyFont="1" applyFill="1" applyBorder="1" applyAlignment="1">
      <alignment horizontal="center" vertical="center" wrapText="1"/>
    </xf>
    <xf numFmtId="170" fontId="22" fillId="51" borderId="50" xfId="315" applyNumberFormat="1" applyFont="1" applyFill="1" applyBorder="1" applyAlignment="1">
      <alignment horizontal="center" vertical="center" wrapText="1"/>
    </xf>
    <xf numFmtId="170" fontId="22" fillId="51" borderId="16" xfId="315" applyNumberFormat="1" applyFont="1" applyFill="1" applyBorder="1" applyAlignment="1">
      <alignment horizontal="center" vertical="center" wrapText="1"/>
    </xf>
    <xf numFmtId="170" fontId="22" fillId="51" borderId="134" xfId="315" applyNumberFormat="1" applyFont="1" applyFill="1" applyBorder="1" applyAlignment="1">
      <alignment horizontal="center" vertical="center" wrapText="1"/>
    </xf>
    <xf numFmtId="170" fontId="22" fillId="51" borderId="57" xfId="8" applyNumberFormat="1" applyFont="1" applyFill="1" applyBorder="1" applyAlignment="1">
      <alignment horizontal="center" vertical="center" wrapText="1"/>
    </xf>
    <xf numFmtId="170" fontId="22" fillId="51" borderId="114" xfId="8" applyNumberFormat="1" applyFont="1" applyFill="1" applyBorder="1" applyAlignment="1">
      <alignment horizontal="center" vertical="center" wrapText="1"/>
    </xf>
    <xf numFmtId="0" fontId="13" fillId="0" borderId="143" xfId="0" quotePrefix="1" applyFont="1" applyFill="1" applyBorder="1" applyAlignment="1">
      <alignment horizontal="left" vertical="center" indent="1"/>
    </xf>
    <xf numFmtId="0" fontId="25" fillId="0" borderId="144" xfId="0" applyFont="1" applyBorder="1" applyAlignment="1">
      <alignment vertical="center"/>
    </xf>
    <xf numFmtId="169" fontId="23" fillId="0" borderId="145" xfId="198" applyNumberFormat="1" applyFont="1" applyFill="1" applyBorder="1" applyAlignment="1">
      <alignment vertical="center"/>
    </xf>
    <xf numFmtId="0" fontId="12" fillId="0" borderId="146" xfId="0" applyFont="1" applyFill="1" applyBorder="1" applyAlignment="1">
      <alignment horizontal="left" vertical="center" indent="2"/>
    </xf>
    <xf numFmtId="0" fontId="27" fillId="0" borderId="147" xfId="0" applyFont="1" applyBorder="1" applyAlignment="1">
      <alignment vertical="center"/>
    </xf>
    <xf numFmtId="169" fontId="3" fillId="0" borderId="148" xfId="198" applyNumberFormat="1" applyFont="1" applyFill="1" applyBorder="1" applyAlignment="1">
      <alignment vertical="center"/>
    </xf>
    <xf numFmtId="0" fontId="13" fillId="0" borderId="146" xfId="0" quotePrefix="1" applyFont="1" applyFill="1" applyBorder="1" applyAlignment="1">
      <alignment horizontal="left" vertical="center" indent="1"/>
    </xf>
    <xf numFmtId="0" fontId="25" fillId="0" borderId="147" xfId="0" applyFont="1" applyBorder="1" applyAlignment="1">
      <alignment vertical="center"/>
    </xf>
    <xf numFmtId="169" fontId="23" fillId="0" borderId="148" xfId="198" applyNumberFormat="1" applyFont="1" applyFill="1" applyBorder="1" applyAlignment="1">
      <alignment vertical="center"/>
    </xf>
    <xf numFmtId="169" fontId="27" fillId="0" borderId="148" xfId="198" applyNumberFormat="1" applyFont="1" applyFill="1" applyBorder="1" applyAlignment="1">
      <alignment horizontal="right" vertical="center" indent="1"/>
    </xf>
    <xf numFmtId="169" fontId="25" fillId="0" borderId="148" xfId="198" applyNumberFormat="1" applyFont="1" applyFill="1" applyBorder="1" applyAlignment="1">
      <alignment horizontal="right" vertical="center" indent="1"/>
    </xf>
    <xf numFmtId="0" fontId="12" fillId="0" borderId="149" xfId="0" applyFont="1" applyFill="1" applyBorder="1" applyAlignment="1">
      <alignment horizontal="left" vertical="center" indent="2"/>
    </xf>
    <xf numFmtId="0" fontId="25" fillId="0" borderId="150" xfId="0" applyFont="1" applyBorder="1" applyAlignment="1">
      <alignment vertical="center"/>
    </xf>
    <xf numFmtId="169" fontId="25" fillId="0" borderId="151" xfId="198" applyNumberFormat="1" applyFont="1" applyFill="1" applyBorder="1" applyAlignment="1">
      <alignment horizontal="right" vertical="center" indent="1"/>
    </xf>
    <xf numFmtId="0" fontId="12" fillId="0" borderId="146" xfId="0" applyFont="1" applyFill="1" applyBorder="1" applyAlignment="1">
      <alignment horizontal="left" vertical="center" indent="3"/>
    </xf>
    <xf numFmtId="0" fontId="13" fillId="0" borderId="146" xfId="0" applyFont="1" applyFill="1" applyBorder="1" applyAlignment="1">
      <alignment horizontal="left" vertical="center" indent="1"/>
    </xf>
    <xf numFmtId="169" fontId="23" fillId="0" borderId="148" xfId="198" applyNumberFormat="1" applyFont="1" applyFill="1" applyBorder="1" applyAlignment="1">
      <alignment horizontal="center" vertical="center"/>
    </xf>
    <xf numFmtId="169" fontId="27" fillId="0" borderId="148" xfId="198" applyNumberFormat="1" applyFont="1" applyFill="1" applyBorder="1" applyAlignment="1">
      <alignment horizontal="center" vertical="center"/>
    </xf>
    <xf numFmtId="0" fontId="12" fillId="0" borderId="149" xfId="0" applyFont="1" applyFill="1" applyBorder="1" applyAlignment="1">
      <alignment horizontal="left" vertical="center" indent="3"/>
    </xf>
    <xf numFmtId="169" fontId="25" fillId="0" borderId="151" xfId="198" applyNumberFormat="1" applyFont="1" applyFill="1" applyBorder="1" applyAlignment="1">
      <alignment horizontal="center" vertical="center"/>
    </xf>
    <xf numFmtId="180" fontId="1" fillId="0" borderId="0" xfId="313" applyNumberFormat="1" applyFont="1"/>
    <xf numFmtId="0" fontId="32" fillId="3" borderId="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Continuous" vertical="center" wrapText="1"/>
    </xf>
    <xf numFmtId="0" fontId="32" fillId="3" borderId="61" xfId="210" applyFont="1" applyFill="1" applyBorder="1" applyAlignment="1">
      <alignment horizontal="center" vertical="center" wrapText="1"/>
    </xf>
    <xf numFmtId="0" fontId="32" fillId="3" borderId="62" xfId="210" applyFont="1" applyFill="1" applyBorder="1" applyAlignment="1">
      <alignment horizontal="center" vertical="center" wrapText="1"/>
    </xf>
    <xf numFmtId="0" fontId="32" fillId="3" borderId="90" xfId="210" applyFont="1" applyFill="1" applyBorder="1" applyAlignment="1">
      <alignment horizontal="center" vertical="center" wrapText="1"/>
    </xf>
    <xf numFmtId="0" fontId="32" fillId="3" borderId="63" xfId="210" applyFont="1" applyFill="1" applyBorder="1" applyAlignment="1">
      <alignment horizontal="center" vertical="center" wrapText="1"/>
    </xf>
    <xf numFmtId="0" fontId="32" fillId="3" borderId="87" xfId="0" applyFont="1" applyFill="1" applyBorder="1" applyAlignment="1">
      <alignment horizontal="centerContinuous" vertical="center"/>
    </xf>
    <xf numFmtId="0" fontId="32" fillId="3" borderId="88" xfId="0" applyFont="1" applyFill="1" applyBorder="1" applyAlignment="1">
      <alignment horizontal="centerContinuous" vertical="center"/>
    </xf>
    <xf numFmtId="0" fontId="32" fillId="3" borderId="89" xfId="0" applyFont="1" applyFill="1" applyBorder="1" applyAlignment="1">
      <alignment horizontal="centerContinuous" vertical="center"/>
    </xf>
    <xf numFmtId="0" fontId="12" fillId="0" borderId="152" xfId="0" applyFont="1" applyBorder="1" applyAlignment="1">
      <alignment horizontal="center" vertical="center"/>
    </xf>
    <xf numFmtId="3" fontId="0" fillId="0" borderId="153" xfId="0" applyNumberFormat="1" applyFont="1" applyFill="1" applyBorder="1" applyAlignment="1">
      <alignment vertical="center"/>
    </xf>
    <xf numFmtId="10" fontId="0" fillId="0" borderId="153" xfId="3" applyNumberFormat="1" applyFont="1" applyFill="1" applyBorder="1" applyAlignment="1">
      <alignment horizontal="center" vertical="center"/>
    </xf>
    <xf numFmtId="10" fontId="0" fillId="0" borderId="154" xfId="3" applyNumberFormat="1" applyFont="1" applyFill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3" fontId="0" fillId="0" borderId="124" xfId="0" applyNumberFormat="1" applyFont="1" applyFill="1" applyBorder="1" applyAlignment="1">
      <alignment vertical="center"/>
    </xf>
    <xf numFmtId="10" fontId="0" fillId="0" borderId="124" xfId="3" applyNumberFormat="1" applyFont="1" applyFill="1" applyBorder="1" applyAlignment="1">
      <alignment horizontal="center" vertical="center"/>
    </xf>
    <xf numFmtId="10" fontId="0" fillId="0" borderId="125" xfId="3" applyNumberFormat="1" applyFont="1" applyFill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3" fontId="0" fillId="0" borderId="127" xfId="0" applyNumberFormat="1" applyFont="1" applyFill="1" applyBorder="1" applyAlignment="1">
      <alignment vertical="center"/>
    </xf>
    <xf numFmtId="10" fontId="0" fillId="0" borderId="127" xfId="3" applyNumberFormat="1" applyFont="1" applyFill="1" applyBorder="1" applyAlignment="1">
      <alignment horizontal="center" vertical="center"/>
    </xf>
    <xf numFmtId="10" fontId="0" fillId="0" borderId="128" xfId="3" applyNumberFormat="1" applyFont="1" applyFill="1" applyBorder="1" applyAlignment="1">
      <alignment horizontal="center" vertical="center"/>
    </xf>
    <xf numFmtId="3" fontId="13" fillId="19" borderId="24" xfId="0" applyNumberFormat="1" applyFont="1" applyFill="1" applyBorder="1" applyAlignment="1">
      <alignment vertical="center"/>
    </xf>
    <xf numFmtId="10" fontId="13" fillId="19" borderId="24" xfId="3" applyNumberFormat="1" applyFont="1" applyFill="1" applyBorder="1" applyAlignment="1">
      <alignment horizontal="center" vertical="center"/>
    </xf>
    <xf numFmtId="10" fontId="13" fillId="19" borderId="17" xfId="3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32" fillId="2" borderId="30" xfId="0" applyFont="1" applyFill="1" applyBorder="1" applyAlignment="1">
      <alignment vertical="center"/>
    </xf>
    <xf numFmtId="0" fontId="12" fillId="0" borderId="155" xfId="0" applyFont="1" applyBorder="1" applyAlignment="1">
      <alignment horizontal="left" vertical="center" indent="1"/>
    </xf>
    <xf numFmtId="0" fontId="0" fillId="0" borderId="156" xfId="0" applyBorder="1" applyAlignment="1">
      <alignment vertical="center"/>
    </xf>
    <xf numFmtId="180" fontId="0" fillId="0" borderId="154" xfId="8" applyNumberFormat="1" applyFont="1" applyBorder="1" applyAlignment="1">
      <alignment vertical="center"/>
    </xf>
    <xf numFmtId="0" fontId="12" fillId="0" borderId="146" xfId="0" applyFont="1" applyBorder="1" applyAlignment="1">
      <alignment horizontal="left" vertical="center" indent="1"/>
    </xf>
    <xf numFmtId="0" fontId="0" fillId="0" borderId="147" xfId="0" applyBorder="1" applyAlignment="1">
      <alignment vertical="center"/>
    </xf>
    <xf numFmtId="180" fontId="0" fillId="0" borderId="125" xfId="8" applyNumberFormat="1" applyFont="1" applyBorder="1" applyAlignment="1">
      <alignment vertical="center"/>
    </xf>
    <xf numFmtId="9" fontId="0" fillId="0" borderId="125" xfId="0" applyNumberFormat="1" applyBorder="1" applyAlignment="1">
      <alignment horizontal="right" vertical="center" indent="2"/>
    </xf>
    <xf numFmtId="0" fontId="12" fillId="0" borderId="149" xfId="0" applyFont="1" applyBorder="1" applyAlignment="1">
      <alignment horizontal="left" vertical="center" indent="1"/>
    </xf>
    <xf numFmtId="0" fontId="0" fillId="0" borderId="150" xfId="0" applyBorder="1" applyAlignment="1">
      <alignment vertical="center"/>
    </xf>
    <xf numFmtId="180" fontId="0" fillId="0" borderId="128" xfId="8" applyNumberFormat="1" applyFont="1" applyBorder="1" applyAlignment="1">
      <alignment vertical="center"/>
    </xf>
    <xf numFmtId="176" fontId="4" fillId="54" borderId="121" xfId="8" applyNumberFormat="1" applyFont="1" applyFill="1" applyBorder="1" applyAlignment="1">
      <alignment vertical="center"/>
    </xf>
    <xf numFmtId="176" fontId="4" fillId="54" borderId="122" xfId="8" applyNumberFormat="1" applyFont="1" applyFill="1" applyBorder="1" applyAlignment="1">
      <alignment vertical="center"/>
    </xf>
    <xf numFmtId="179" fontId="0" fillId="54" borderId="121" xfId="0" applyNumberFormat="1" applyFill="1" applyBorder="1" applyAlignment="1">
      <alignment vertical="center"/>
    </xf>
    <xf numFmtId="179" fontId="0" fillId="54" borderId="122" xfId="0" applyNumberFormat="1" applyFill="1" applyBorder="1" applyAlignment="1">
      <alignment vertical="center"/>
    </xf>
    <xf numFmtId="167" fontId="0" fillId="0" borderId="125" xfId="3" applyNumberFormat="1" applyFont="1" applyBorder="1" applyAlignment="1">
      <alignment horizontal="right" vertical="center"/>
    </xf>
    <xf numFmtId="180" fontId="0" fillId="0" borderId="140" xfId="8" applyNumberFormat="1" applyFont="1" applyBorder="1" applyAlignment="1">
      <alignment vertical="center"/>
    </xf>
    <xf numFmtId="167" fontId="0" fillId="0" borderId="141" xfId="3" applyNumberFormat="1" applyFont="1" applyBorder="1" applyAlignment="1">
      <alignment horizontal="right" vertical="center"/>
    </xf>
    <xf numFmtId="180" fontId="13" fillId="19" borderId="93" xfId="8" applyNumberFormat="1" applyFont="1" applyFill="1" applyBorder="1" applyAlignment="1">
      <alignment vertical="center"/>
    </xf>
    <xf numFmtId="167" fontId="13" fillId="19" borderId="83" xfId="3" applyNumberFormat="1" applyFont="1" applyFill="1" applyBorder="1" applyAlignment="1">
      <alignment horizontal="right" vertical="center"/>
    </xf>
    <xf numFmtId="173" fontId="0" fillId="0" borderId="124" xfId="8" applyNumberFormat="1" applyFont="1" applyBorder="1" applyAlignment="1">
      <alignment vertical="center"/>
    </xf>
    <xf numFmtId="173" fontId="0" fillId="0" borderId="125" xfId="8" applyNumberFormat="1" applyFont="1" applyBorder="1" applyAlignment="1">
      <alignment vertical="center"/>
    </xf>
    <xf numFmtId="173" fontId="0" fillId="0" borderId="127" xfId="8" applyNumberFormat="1" applyFont="1" applyBorder="1" applyAlignment="1">
      <alignment vertical="center"/>
    </xf>
    <xf numFmtId="173" fontId="0" fillId="0" borderId="128" xfId="8" applyNumberFormat="1" applyFont="1" applyBorder="1" applyAlignment="1">
      <alignment vertical="center"/>
    </xf>
  </cellXfs>
  <cellStyles count="316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Millares 6" xfId="315" xr:uid="{AB5587E0-F610-4800-81B8-592E01C9853C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F7F7F"/>
      <color rgb="FFFFFFCC"/>
      <color rgb="FFFFFF99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transporte'!$B$39:$G$39</c:f>
              <c:numCache>
                <c:formatCode>_-* #,##0.0\ _P_t_a_-;\-* #,##0.0\ _P_t_a_-;_-* "-"??\ _P_t_a_-;_-@_-</c:formatCode>
                <c:ptCount val="6"/>
                <c:pt idx="0">
                  <c:v>32.352273364009442</c:v>
                </c:pt>
                <c:pt idx="1">
                  <c:v>29.611683811490323</c:v>
                </c:pt>
                <c:pt idx="2">
                  <c:v>20.150746943558996</c:v>
                </c:pt>
                <c:pt idx="3">
                  <c:v>12.63732646319087</c:v>
                </c:pt>
                <c:pt idx="4">
                  <c:v>0.17258962233258562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transporte'!$B$40:$G$40</c:f>
              <c:numCache>
                <c:formatCode>_-* #,##0.0\ _P_t_a_-;\-* #,##0.0\ _P_t_a_-;_-* "-"??\ _P_t_a_-;_-@_-</c:formatCode>
                <c:ptCount val="6"/>
                <c:pt idx="0">
                  <c:v>35.71489945681158</c:v>
                </c:pt>
                <c:pt idx="1">
                  <c:v>33.593546132230394</c:v>
                </c:pt>
                <c:pt idx="2">
                  <c:v>28.085249902204595</c:v>
                </c:pt>
                <c:pt idx="3">
                  <c:v>17.269119331424513</c:v>
                </c:pt>
                <c:pt idx="4">
                  <c:v>0.23728721838758701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transporte'!$B$41:$G$41</c:f>
              <c:numCache>
                <c:formatCode>_-* #,##0.0\ _P_t_a_-;\-* #,##0.0\ _P_t_a_-;_-* "-"??\ _P_t_a_-;_-@_-</c:formatCode>
                <c:ptCount val="6"/>
                <c:pt idx="0">
                  <c:v>35.28764637843193</c:v>
                </c:pt>
                <c:pt idx="1">
                  <c:v>31.853490066067096</c:v>
                </c:pt>
                <c:pt idx="2">
                  <c:v>24.313507199881379</c:v>
                </c:pt>
                <c:pt idx="3">
                  <c:v>14.473729306362499</c:v>
                </c:pt>
                <c:pt idx="4">
                  <c:v>0.21469238493934967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transporte'!$B$42:$G$42</c:f>
              <c:numCache>
                <c:formatCode>_-* #,##0.0\ _P_t_a_-;\-* #,##0.0\ _P_t_a_-;_-* "-"??\ _P_t_a_-;_-@_-</c:formatCode>
                <c:ptCount val="6"/>
                <c:pt idx="0">
                  <c:v>30.405282210373052</c:v>
                </c:pt>
                <c:pt idx="1">
                  <c:v>29.035748933940408</c:v>
                </c:pt>
                <c:pt idx="2">
                  <c:v>25.537845524382377</c:v>
                </c:pt>
                <c:pt idx="3">
                  <c:v>14.089004327095147</c:v>
                </c:pt>
                <c:pt idx="4">
                  <c:v>0.20679230966712198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transporte'!$B$43:$G$43</c:f>
              <c:numCache>
                <c:formatCode>_-* #,##0.0\ _P_t_a_-;\-* #,##0.0\ _P_t_a_-;_-* "-"??\ _P_t_a_-;_-@_-</c:formatCode>
                <c:ptCount val="6"/>
                <c:pt idx="0">
                  <c:v>30.307453655393992</c:v>
                </c:pt>
                <c:pt idx="1">
                  <c:v>34.730377337207003</c:v>
                </c:pt>
                <c:pt idx="2">
                  <c:v>15.871758114776425</c:v>
                </c:pt>
                <c:pt idx="3">
                  <c:v>12.139879566466194</c:v>
                </c:pt>
                <c:pt idx="4">
                  <c:v>0.2377560826126959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transporte'!$I$39:$N$39</c:f>
              <c:numCache>
                <c:formatCode>_-* #,##0.0\ _P_t_a_-;\-* #,##0.0\ _P_t_a_-;_-* "-"??\ _P_t_a_-;_-@_-</c:formatCode>
                <c:ptCount val="6"/>
                <c:pt idx="0">
                  <c:v>123.54175894512822</c:v>
                </c:pt>
                <c:pt idx="1">
                  <c:v>96.652400123168121</c:v>
                </c:pt>
                <c:pt idx="2">
                  <c:v>79.887392163876626</c:v>
                </c:pt>
                <c:pt idx="3">
                  <c:v>43.513747371448638</c:v>
                </c:pt>
                <c:pt idx="4">
                  <c:v>1.5307005971914298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transporte'!$I$40:$N$40</c:f>
              <c:numCache>
                <c:formatCode>_-* #,##0.0\ _P_t_a_-;\-* #,##0.0\ _P_t_a_-;_-* "-"??\ _P_t_a_-;_-@_-</c:formatCode>
                <c:ptCount val="6"/>
                <c:pt idx="0">
                  <c:v>131.13380772802009</c:v>
                </c:pt>
                <c:pt idx="1">
                  <c:v>102.62888259419664</c:v>
                </c:pt>
                <c:pt idx="2">
                  <c:v>75.858908521600313</c:v>
                </c:pt>
                <c:pt idx="3">
                  <c:v>41.67887217783575</c:v>
                </c:pt>
                <c:pt idx="4">
                  <c:v>1.4724189634604006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transporte'!$I$41:$N$41</c:f>
              <c:numCache>
                <c:formatCode>_-* #,##0.0\ _P_t_a_-;\-* #,##0.0\ _P_t_a_-;_-* "-"??\ _P_t_a_-;_-@_-</c:formatCode>
                <c:ptCount val="6"/>
                <c:pt idx="0">
                  <c:v>151.44990098392887</c:v>
                </c:pt>
                <c:pt idx="1">
                  <c:v>112.53103970401594</c:v>
                </c:pt>
                <c:pt idx="2">
                  <c:v>87.253605570042097</c:v>
                </c:pt>
                <c:pt idx="3">
                  <c:v>47.263139730052394</c:v>
                </c:pt>
                <c:pt idx="4">
                  <c:v>1.5634654202183866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transporte'!$I$42:$N$42</c:f>
              <c:numCache>
                <c:formatCode>_-* #,##0.0\ _P_t_a_-;\-* #,##0.0\ _P_t_a_-;_-* "-"??\ _P_t_a_-;_-@_-</c:formatCode>
                <c:ptCount val="6"/>
                <c:pt idx="0">
                  <c:v>123.31165218613434</c:v>
                </c:pt>
                <c:pt idx="1">
                  <c:v>94.406974433902604</c:v>
                </c:pt>
                <c:pt idx="2">
                  <c:v>75.612922955865969</c:v>
                </c:pt>
                <c:pt idx="3">
                  <c:v>41.365256105572819</c:v>
                </c:pt>
                <c:pt idx="4">
                  <c:v>1.3647879543375987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transporte'!$I$43:$N$43</c:f>
              <c:numCache>
                <c:formatCode>_-* #,##0.0\ _P_t_a_-;\-* #,##0.0\ _P_t_a_-;_-* "-"??\ _P_t_a_-;_-@_-</c:formatCode>
                <c:ptCount val="6"/>
                <c:pt idx="0">
                  <c:v>140.9348919616144</c:v>
                </c:pt>
                <c:pt idx="1">
                  <c:v>107.98252759215421</c:v>
                </c:pt>
                <c:pt idx="2">
                  <c:v>93.056274882060237</c:v>
                </c:pt>
                <c:pt idx="3">
                  <c:v>51.135785925549818</c:v>
                </c:pt>
                <c:pt idx="4">
                  <c:v>1.649021116248865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distribución'!$B$39:$G$39</c:f>
              <c:numCache>
                <c:formatCode>_-* #,##0.0\ _P_t_a_-;\-* #,##0.0\ _P_t_a_-;_-* "-"??\ _P_t_a_-;_-@_-</c:formatCode>
                <c:ptCount val="6"/>
                <c:pt idx="0">
                  <c:v>5.2723765796665916</c:v>
                </c:pt>
                <c:pt idx="1">
                  <c:v>4.8741499235468524</c:v>
                </c:pt>
                <c:pt idx="2">
                  <c:v>2.3392597736880925</c:v>
                </c:pt>
                <c:pt idx="3">
                  <c:v>1.8584972474675476</c:v>
                </c:pt>
                <c:pt idx="4">
                  <c:v>0.10982624410525339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distribución'!$B$40:$G$40</c:f>
              <c:numCache>
                <c:formatCode>_-* #,##0.0\ _P_t_a_-;\-* #,##0.0\ _P_t_a_-;_-* "-"??\ _P_t_a_-;_-@_-</c:formatCode>
                <c:ptCount val="6"/>
                <c:pt idx="0">
                  <c:v>45.58632064466169</c:v>
                </c:pt>
                <c:pt idx="1">
                  <c:v>43.008798031753813</c:v>
                </c:pt>
                <c:pt idx="2">
                  <c:v>34.635325823909312</c:v>
                </c:pt>
                <c:pt idx="3">
                  <c:v>25.041312115999823</c:v>
                </c:pt>
                <c:pt idx="4">
                  <c:v>0.97633638067978878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distribución'!$B$41:$G$41</c:f>
              <c:numCache>
                <c:formatCode>_-* #,##0.0\ _P_t_a_-;\-* #,##0.0\ _P_t_a_-;_-* "-"??\ _P_t_a_-;_-@_-</c:formatCode>
                <c:ptCount val="6"/>
                <c:pt idx="0">
                  <c:v>53.779318723663572</c:v>
                </c:pt>
                <c:pt idx="1">
                  <c:v>52.987037765975408</c:v>
                </c:pt>
                <c:pt idx="2">
                  <c:v>37.199760414549132</c:v>
                </c:pt>
                <c:pt idx="3">
                  <c:v>23.850831409281302</c:v>
                </c:pt>
                <c:pt idx="4">
                  <c:v>0.6729474996300886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distribución'!$B$42:$G$42</c:f>
              <c:numCache>
                <c:formatCode>_-* #,##0.0\ _P_t_a_-;\-* #,##0.0\ _P_t_a_-;_-* "-"??\ _P_t_a_-;_-@_-</c:formatCode>
                <c:ptCount val="6"/>
                <c:pt idx="0">
                  <c:v>23.064152590243292</c:v>
                </c:pt>
                <c:pt idx="1">
                  <c:v>22.43899685772692</c:v>
                </c:pt>
                <c:pt idx="2">
                  <c:v>20.527730470888677</c:v>
                </c:pt>
                <c:pt idx="3">
                  <c:v>13.165642900089567</c:v>
                </c:pt>
                <c:pt idx="4">
                  <c:v>0.50950466676113138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distribución'!$I$39:$N$39</c:f>
              <c:numCache>
                <c:formatCode>_-* #,##0.0\ _P_t_a_-;\-* #,##0.0\ _P_t_a_-;_-* "-"??\ _P_t_a_-;_-@_-</c:formatCode>
                <c:ptCount val="6"/>
                <c:pt idx="0">
                  <c:v>163.55551677611447</c:v>
                </c:pt>
                <c:pt idx="1">
                  <c:v>124.74685359478968</c:v>
                </c:pt>
                <c:pt idx="2">
                  <c:v>97.597118683330635</c:v>
                </c:pt>
                <c:pt idx="3">
                  <c:v>62.101169298364141</c:v>
                </c:pt>
                <c:pt idx="4">
                  <c:v>5.8994050356591083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distribución'!$I$40:$N$40</c:f>
              <c:numCache>
                <c:formatCode>_-* #,##0.0\ _P_t_a_-;\-* #,##0.0\ _P_t_a_-;_-* "-"??\ _P_t_a_-;_-@_-</c:formatCode>
                <c:ptCount val="6"/>
                <c:pt idx="0">
                  <c:v>169.73339405328963</c:v>
                </c:pt>
                <c:pt idx="1">
                  <c:v>130.09369763644574</c:v>
                </c:pt>
                <c:pt idx="2">
                  <c:v>92.12319258509882</c:v>
                </c:pt>
                <c:pt idx="3">
                  <c:v>60.014430297383832</c:v>
                </c:pt>
                <c:pt idx="4">
                  <c:v>5.792765914285547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distribución'!$I$41:$N$41</c:f>
              <c:numCache>
                <c:formatCode>_-* #,##0.0\ _P_t_a_-;\-* #,##0.0\ _P_t_a_-;_-* "-"??\ _P_t_a_-;_-@_-</c:formatCode>
                <c:ptCount val="6"/>
                <c:pt idx="0">
                  <c:v>225.05651941416161</c:v>
                </c:pt>
                <c:pt idx="1">
                  <c:v>172.40989901744248</c:v>
                </c:pt>
                <c:pt idx="2">
                  <c:v>137.19176657537776</c:v>
                </c:pt>
                <c:pt idx="3">
                  <c:v>77.151676219851453</c:v>
                </c:pt>
                <c:pt idx="4">
                  <c:v>4.6481114000617367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distribución'!$I$42:$N$42</c:f>
              <c:numCache>
                <c:formatCode>_-* #,##0.0\ _P_t_a_-;\-* #,##0.0\ _P_t_a_-;_-* "-"??\ _P_t_a_-;_-@_-</c:formatCode>
                <c:ptCount val="6"/>
                <c:pt idx="0">
                  <c:v>96.363965743273454</c:v>
                </c:pt>
                <c:pt idx="1">
                  <c:v>70.444811606554239</c:v>
                </c:pt>
                <c:pt idx="2">
                  <c:v>63.895914418732957</c:v>
                </c:pt>
                <c:pt idx="3">
                  <c:v>39.274471285207653</c:v>
                </c:pt>
                <c:pt idx="4">
                  <c:v>3.128131951287707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T&amp;D'!$A$23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T&amp;D'!$B$23:$G$23</c:f>
              <c:numCache>
                <c:formatCode>_-* #,##0.0\ _P_t_a_-;\-* #,##0.0\ _P_t_a_-;_-* "-"??\ _P_t_a_-;_-@_-</c:formatCode>
                <c:ptCount val="6"/>
                <c:pt idx="0">
                  <c:v>10.78528878424517</c:v>
                </c:pt>
                <c:pt idx="1">
                  <c:v>9.9564138891644482</c:v>
                </c:pt>
                <c:pt idx="2">
                  <c:v>5.0634369060165154</c:v>
                </c:pt>
                <c:pt idx="3">
                  <c:v>3.8609694929922007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'VII. Peajes T&amp;D'!$A$24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T&amp;D'!$B$24:$G$24</c:f>
              <c:numCache>
                <c:formatCode>_-* #,##0.0\ _P_t_a_-;\-* #,##0.0\ _P_t_a_-;_-* "-"??\ _P_t_a_-;_-@_-</c:formatCode>
                <c:ptCount val="6"/>
                <c:pt idx="0">
                  <c:v>47.718162782003411</c:v>
                </c:pt>
                <c:pt idx="1">
                  <c:v>44.983203041515452</c:v>
                </c:pt>
                <c:pt idx="2">
                  <c:v>36.598787683229524</c:v>
                </c:pt>
                <c:pt idx="3">
                  <c:v>25.36216156995533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3"/>
          <c:tx>
            <c:strRef>
              <c:f>'VII. Peajes T&amp;D'!$A$26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T&amp;D'!$B$26:$G$26</c:f>
              <c:numCache>
                <c:formatCode>_-* #,##0.0\ _P_t_a_-;\-* #,##0.0\ _P_t_a_-;_-* "-"??\ _P_t_a_-;_-@_-</c:formatCode>
                <c:ptCount val="6"/>
                <c:pt idx="0">
                  <c:v>37.240534587155864</c:v>
                </c:pt>
                <c:pt idx="1">
                  <c:v>35.855724100531994</c:v>
                </c:pt>
                <c:pt idx="2">
                  <c:v>32.096323690946491</c:v>
                </c:pt>
                <c:pt idx="3">
                  <c:v>19.009081775322159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4"/>
          <c:tx>
            <c:strRef>
              <c:f>'VII. Peajes T&amp;D'!$A$27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T&amp;D'!$B$27:$G$27</c:f>
              <c:numCache>
                <c:formatCode>_-* #,##0.0\ _P_t_a_-;\-* #,##0.0\ _P_t_a_-;_-* "-"??\ _P_t_a_-;_-@_-</c:formatCode>
                <c:ptCount val="6"/>
                <c:pt idx="0">
                  <c:v>48.959931537704044</c:v>
                </c:pt>
                <c:pt idx="1">
                  <c:v>48.959931537704044</c:v>
                </c:pt>
                <c:pt idx="2">
                  <c:v>23.85045110492165</c:v>
                </c:pt>
                <c:pt idx="3">
                  <c:v>18.242566571757383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'VII. Peajes T&amp;D'!$A$25</c15:sqref>
                        </c15:formulaRef>
                      </c:ext>
                    </c:extLst>
                    <c:strCache>
                      <c:ptCount val="1"/>
                      <c:pt idx="0">
                        <c:v>NT2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'VII. Peajes T&amp;D'!$B$25:$G$25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6"/>
                      <c:pt idx="0">
                        <c:v>57.943434001602263</c:v>
                      </c:pt>
                      <c:pt idx="1">
                        <c:v>54.923716260066662</c:v>
                      </c:pt>
                      <c:pt idx="2">
                        <c:v>40.00925177821388</c:v>
                      </c:pt>
                      <c:pt idx="3">
                        <c:v>24.823405849158572</c:v>
                      </c:pt>
                      <c:pt idx="4">
                        <c:v>1</c:v>
                      </c:pt>
                      <c:pt idx="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4FF-43B6-8C13-4F9946CC7DE1}"/>
                  </c:ext>
                </c:extLst>
              </c15:ser>
            </c15:filteredLineSeries>
          </c:ext>
        </c:extLst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T&amp;D'!$A$23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T&amp;D'!$I$23:$N$23</c:f>
              <c:numCache>
                <c:formatCode>_-* #,##0.0\ _P_t_a_-;\-* #,##0.0\ _P_t_a_-;_-* "-"??\ _P_t_a_-;_-@_-</c:formatCode>
                <c:ptCount val="6"/>
                <c:pt idx="0">
                  <c:v>150.65448801014225</c:v>
                </c:pt>
                <c:pt idx="1">
                  <c:v>115.68878526907541</c:v>
                </c:pt>
                <c:pt idx="2">
                  <c:v>91.887240290253317</c:v>
                </c:pt>
                <c:pt idx="3">
                  <c:v>56.108308893268578</c:v>
                </c:pt>
                <c:pt idx="4">
                  <c:v>4.4908699545811492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'VII. Peajes T&amp;D'!$A$24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T&amp;D'!$I$24:$N$24</c:f>
              <c:numCache>
                <c:formatCode>_-* #,##0.0\ _P_t_a_-;\-* #,##0.0\ _P_t_a_-;_-* "-"??\ _P_t_a_-;_-@_-</c:formatCode>
                <c:ptCount val="6"/>
                <c:pt idx="0">
                  <c:v>157.47799571518988</c:v>
                </c:pt>
                <c:pt idx="1">
                  <c:v>121.37359774240507</c:v>
                </c:pt>
                <c:pt idx="2">
                  <c:v>86.959269889075216</c:v>
                </c:pt>
                <c:pt idx="3">
                  <c:v>54.192876495929411</c:v>
                </c:pt>
                <c:pt idx="4">
                  <c:v>4.4210524354161054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'VII. Peajes T&amp;D'!$A$25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T&amp;D'!$I$25:$N$25</c:f>
              <c:numCache>
                <c:formatCode>_-* #,##0.0\ _P_t_a_-;\-* #,##0.0\ _P_t_a_-;_-* "-"??\ _P_t_a_-;_-@_-</c:formatCode>
                <c:ptCount val="6"/>
                <c:pt idx="0">
                  <c:v>185.26528025230854</c:v>
                </c:pt>
                <c:pt idx="1">
                  <c:v>140.03979341426384</c:v>
                </c:pt>
                <c:pt idx="2">
                  <c:v>110.1955351189648</c:v>
                </c:pt>
                <c:pt idx="3">
                  <c:v>60.994135919441732</c:v>
                </c:pt>
                <c:pt idx="4">
                  <c:v>2.9805726850488345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'VII. Peajes T&amp;D'!$A$26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T&amp;D'!$I$26:$N$26</c:f>
              <c:numCache>
                <c:formatCode>_-* #,##0.0\ _P_t_a_-;\-* #,##0.0\ _P_t_a_-;_-* "-"??\ _P_t_a_-;_-@_-</c:formatCode>
                <c:ptCount val="6"/>
                <c:pt idx="0">
                  <c:v>109.54338007652493</c:v>
                </c:pt>
                <c:pt idx="1">
                  <c:v>82.164083793132818</c:v>
                </c:pt>
                <c:pt idx="2">
                  <c:v>69.626399318969405</c:v>
                </c:pt>
                <c:pt idx="3">
                  <c:v>40.297019899452991</c:v>
                </c:pt>
                <c:pt idx="4">
                  <c:v>2.2657261489516047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'VII. Peajes T&amp;D'!$A$27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T&amp;D'!$I$27:$N$27</c:f>
              <c:numCache>
                <c:formatCode>_-* #,##0.0\ _P_t_a_-;\-* #,##0.0\ _P_t_a_-;_-* "-"??\ _P_t_a_-;_-@_-</c:formatCode>
                <c:ptCount val="6"/>
                <c:pt idx="0">
                  <c:v>140.9348919616144</c:v>
                </c:pt>
                <c:pt idx="1">
                  <c:v>107.98252759215421</c:v>
                </c:pt>
                <c:pt idx="2">
                  <c:v>93.056274882060237</c:v>
                </c:pt>
                <c:pt idx="3">
                  <c:v>51.135785925549818</c:v>
                </c:pt>
                <c:pt idx="4">
                  <c:v>1.649021116248865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880491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FD827-92F2-4E6F-82D2-3188734E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28</xdr:row>
      <xdr:rowOff>38100</xdr:rowOff>
    </xdr:from>
    <xdr:to>
      <xdr:col>6</xdr:col>
      <xdr:colOff>847724</xdr:colOff>
      <xdr:row>46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28</xdr:row>
      <xdr:rowOff>19050</xdr:rowOff>
    </xdr:from>
    <xdr:to>
      <xdr:col>14</xdr:col>
      <xdr:colOff>19051</xdr:colOff>
      <xdr:row>46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470916</xdr:colOff>
      <xdr:row>3</xdr:row>
      <xdr:rowOff>84201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433F-B7D1-4FC5-BFB9-02E342EB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80391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05B3A-5862-449C-BFEC-1F2E005F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670941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83739-963E-492E-ADCE-73840ACE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680466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0DD387-D7BF-4F3B-859C-78455BA16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680466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F6D21D-7B21-413D-BF3B-51210B9A3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B9EBE-BF2E-41F3-80F1-EED7D4AD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76AEC-DDAF-4146-BD6E-DB52A211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DDF65-C2FD-4327-A922-9688380D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28575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251841</xdr:colOff>
      <xdr:row>3</xdr:row>
      <xdr:rowOff>84201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2B7086-6E8F-4758-87D5-DCF3DED0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66675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223266</xdr:colOff>
      <xdr:row>3</xdr:row>
      <xdr:rowOff>84201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F650D-6738-4F42-8DB6-4D33AD65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99441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8AB5-A03F-4663-8AAC-DB12ADDDC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ENARIO%202006-%20(Previsi&#243;n%20CN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7\Costes\Preliminar\ESCENARIO%202006-%20(RD%20155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Hipótesis"/>
      <sheetName val="Demanda"/>
      <sheetName val="Cobertura"/>
      <sheetName val="Ciclos"/>
      <sheetName val="Compensación Extrapeninsular"/>
      <sheetName val="Margen de Distribuidores"/>
      <sheetName val="DÉFICIT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ENTRAL TIPO CICLOS COMBINADOS"/>
      <sheetName val="PARAMAMETROS_BÁSICOS"/>
      <sheetName val="Compensación_Extrapeninsular"/>
      <sheetName val="Margen_de_Distribuidores"/>
      <sheetName val="ESCENARIO_(Miles_€)"/>
      <sheetName val="ESCENARIO_(Miles_€)_(2)"/>
      <sheetName val="DATOS_ADICIONALES_(€)_-_TOTAL"/>
      <sheetName val="DATOS_ADICIONALES_(€)_-_PENINSU"/>
      <sheetName val="DATOS_ADICIONALES_(€)_-_EXTRAPE"/>
      <sheetName val="CENTRAL_TIPO_CICLOS_COMBIN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Incidencias"/>
      <sheetName val="Demanda"/>
      <sheetName val="Cobertura"/>
      <sheetName val="Cuotas"/>
      <sheetName val="Desvío Régimen Especial"/>
      <sheetName val="Compensación Extrapeninsular"/>
      <sheetName val="DÉFICIT 2001 y 2003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OSTE PENINSULAR"/>
      <sheetName val="Ciclos"/>
      <sheetName val="CENTRAL TIPO CICLOS COMBINADOS"/>
      <sheetName val="Previsión Grupo a y d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P143"/>
  <sheetViews>
    <sheetView showGridLines="0" tabSelected="1" zoomScaleNormal="100" zoomScaleSheetLayoutView="115" workbookViewId="0">
      <selection activeCell="J122" sqref="J122"/>
    </sheetView>
  </sheetViews>
  <sheetFormatPr baseColWidth="10" defaultRowHeight="12.75" x14ac:dyDescent="0.2"/>
  <cols>
    <col min="1" max="1" width="26.7109375" style="1" customWidth="1"/>
    <col min="2" max="2" width="15.28515625" style="1" customWidth="1"/>
    <col min="3" max="3" width="18.42578125" style="1" bestFit="1" customWidth="1"/>
    <col min="4" max="4" width="15.140625" style="1" customWidth="1"/>
    <col min="5" max="5" width="17.28515625" style="1" customWidth="1"/>
    <col min="6" max="6" width="14.5703125" style="1" customWidth="1"/>
    <col min="7" max="7" width="12.7109375" style="1" customWidth="1"/>
    <col min="8" max="8" width="13.7109375" style="1" customWidth="1"/>
    <col min="9" max="9" width="12.7109375" style="1" customWidth="1"/>
    <col min="10" max="10" width="8.85546875" style="1" customWidth="1"/>
    <col min="11" max="11" width="17.5703125" style="1" customWidth="1"/>
    <col min="12" max="16384" width="11.42578125" style="1"/>
  </cols>
  <sheetData>
    <row r="6" spans="1:8" s="4" customFormat="1" ht="30" customHeight="1" x14ac:dyDescent="0.2">
      <c r="A6" s="412" t="s">
        <v>197</v>
      </c>
      <c r="B6" s="412"/>
    </row>
    <row r="7" spans="1:8" ht="5.0999999999999996" customHeight="1" x14ac:dyDescent="0.2"/>
    <row r="8" spans="1:8" s="2" customFormat="1" ht="19.5" customHeight="1" x14ac:dyDescent="0.2">
      <c r="A8" s="5" t="s">
        <v>113</v>
      </c>
      <c r="B8" s="5"/>
    </row>
    <row r="9" spans="1:8" ht="5.0999999999999996" customHeight="1" x14ac:dyDescent="0.2">
      <c r="D9" s="2"/>
      <c r="E9" s="2"/>
      <c r="F9" s="2"/>
      <c r="G9" s="2"/>
      <c r="H9" s="2"/>
    </row>
    <row r="10" spans="1:8" s="2" customFormat="1" ht="19.5" customHeight="1" x14ac:dyDescent="0.2">
      <c r="A10" s="5" t="s">
        <v>114</v>
      </c>
      <c r="B10" s="5"/>
    </row>
    <row r="11" spans="1:8" ht="13.5" thickBot="1" x14ac:dyDescent="0.25">
      <c r="D11" s="2"/>
      <c r="E11" s="2"/>
      <c r="F11" s="2"/>
      <c r="G11" s="2"/>
      <c r="H11" s="2"/>
    </row>
    <row r="12" spans="1:8" s="26" customFormat="1" ht="33" customHeight="1" thickBot="1" x14ac:dyDescent="0.25">
      <c r="C12" s="60" t="s">
        <v>36</v>
      </c>
      <c r="D12" s="2"/>
      <c r="E12" s="2"/>
      <c r="F12" s="2"/>
      <c r="G12" s="2"/>
    </row>
    <row r="13" spans="1:8" s="26" customFormat="1" ht="7.5" customHeight="1" thickBot="1" x14ac:dyDescent="0.25">
      <c r="C13" s="51"/>
      <c r="D13" s="2"/>
      <c r="E13" s="2"/>
      <c r="F13" s="2"/>
      <c r="G13" s="2"/>
    </row>
    <row r="14" spans="1:8" s="27" customFormat="1" ht="34.5" customHeight="1" x14ac:dyDescent="0.2">
      <c r="A14" s="464" t="s">
        <v>41</v>
      </c>
      <c r="B14" s="465"/>
      <c r="C14" s="61">
        <f>C15+C18+C19</f>
        <v>1464739.8760048375</v>
      </c>
      <c r="D14" s="2"/>
      <c r="E14" s="2"/>
      <c r="F14" s="2"/>
      <c r="G14" s="2"/>
    </row>
    <row r="15" spans="1:8" s="28" customFormat="1" ht="20.100000000000001" customHeight="1" x14ac:dyDescent="0.2">
      <c r="A15" s="507" t="s">
        <v>25</v>
      </c>
      <c r="B15" s="508"/>
      <c r="C15" s="509">
        <f>SUM(C16:C17)</f>
        <v>1558266.1006510647</v>
      </c>
      <c r="D15" s="337"/>
      <c r="E15" s="2"/>
      <c r="F15" s="2"/>
      <c r="G15" s="2"/>
    </row>
    <row r="16" spans="1:8" s="29" customFormat="1" ht="20.100000000000001" customHeight="1" x14ac:dyDescent="0.2">
      <c r="A16" s="510" t="s">
        <v>25</v>
      </c>
      <c r="B16" s="511"/>
      <c r="C16" s="512">
        <v>1556086.1006510647</v>
      </c>
      <c r="D16" s="2"/>
      <c r="E16" s="2"/>
      <c r="F16" s="2"/>
      <c r="G16" s="2"/>
    </row>
    <row r="17" spans="1:9" s="29" customFormat="1" ht="20.100000000000001" customHeight="1" x14ac:dyDescent="0.2">
      <c r="A17" s="510" t="s">
        <v>33</v>
      </c>
      <c r="B17" s="511"/>
      <c r="C17" s="512">
        <v>2180</v>
      </c>
      <c r="D17" s="2"/>
      <c r="E17" s="2"/>
      <c r="F17" s="2"/>
      <c r="G17" s="2"/>
    </row>
    <row r="18" spans="1:9" s="28" customFormat="1" ht="20.100000000000001" customHeight="1" x14ac:dyDescent="0.2">
      <c r="A18" s="513" t="s">
        <v>26</v>
      </c>
      <c r="B18" s="514"/>
      <c r="C18" s="515">
        <v>-93526.224646227245</v>
      </c>
      <c r="D18" s="2"/>
      <c r="E18" s="2"/>
      <c r="F18" s="2"/>
      <c r="G18" s="2"/>
    </row>
    <row r="19" spans="1:9" s="28" customFormat="1" ht="20.100000000000001" customHeight="1" x14ac:dyDescent="0.2">
      <c r="A19" s="513" t="s">
        <v>27</v>
      </c>
      <c r="B19" s="514"/>
      <c r="C19" s="515">
        <f>SUM(C20:C23)</f>
        <v>0</v>
      </c>
      <c r="D19" s="2"/>
      <c r="E19" s="2"/>
      <c r="F19" s="2"/>
      <c r="G19" s="2"/>
    </row>
    <row r="20" spans="1:9" s="28" customFormat="1" ht="20.100000000000001" customHeight="1" x14ac:dyDescent="0.2">
      <c r="A20" s="510" t="s">
        <v>32</v>
      </c>
      <c r="B20" s="514"/>
      <c r="C20" s="516" t="s">
        <v>28</v>
      </c>
      <c r="D20" s="2"/>
      <c r="E20" s="2"/>
      <c r="F20" s="2"/>
      <c r="G20" s="2"/>
    </row>
    <row r="21" spans="1:9" s="28" customFormat="1" ht="20.100000000000001" customHeight="1" x14ac:dyDescent="0.2">
      <c r="A21" s="510" t="s">
        <v>29</v>
      </c>
      <c r="B21" s="514"/>
      <c r="C21" s="516" t="s">
        <v>28</v>
      </c>
      <c r="D21" s="2"/>
      <c r="E21" s="2"/>
      <c r="F21" s="2"/>
      <c r="G21" s="2"/>
    </row>
    <row r="22" spans="1:9" s="28" customFormat="1" ht="20.100000000000001" customHeight="1" x14ac:dyDescent="0.2">
      <c r="A22" s="510" t="s">
        <v>140</v>
      </c>
      <c r="B22" s="514"/>
      <c r="C22" s="517" t="s">
        <v>28</v>
      </c>
      <c r="D22" s="2"/>
      <c r="E22" s="2"/>
      <c r="F22" s="2"/>
      <c r="G22" s="2"/>
    </row>
    <row r="23" spans="1:9" s="28" customFormat="1" ht="20.100000000000001" customHeight="1" thickBot="1" x14ac:dyDescent="0.25">
      <c r="A23" s="518" t="s">
        <v>30</v>
      </c>
      <c r="B23" s="519"/>
      <c r="C23" s="520" t="s">
        <v>28</v>
      </c>
      <c r="D23" s="2"/>
      <c r="E23" s="2"/>
      <c r="F23" s="2"/>
      <c r="G23" s="2"/>
    </row>
    <row r="24" spans="1:9" s="28" customFormat="1" x14ac:dyDescent="0.2">
      <c r="A24" s="241" t="s">
        <v>146</v>
      </c>
      <c r="B24" s="211"/>
      <c r="C24" s="212"/>
      <c r="D24" s="2"/>
      <c r="E24" s="2"/>
      <c r="F24" s="2"/>
      <c r="G24" s="2"/>
    </row>
    <row r="25" spans="1:9" s="26" customFormat="1" x14ac:dyDescent="0.2">
      <c r="B25" s="51"/>
      <c r="D25" s="2"/>
      <c r="E25" s="2"/>
      <c r="F25" s="2"/>
      <c r="G25" s="2"/>
    </row>
    <row r="26" spans="1:9" s="26" customFormat="1" ht="15.75" x14ac:dyDescent="0.2">
      <c r="A26" s="5" t="s">
        <v>115</v>
      </c>
      <c r="B26" s="52"/>
      <c r="C26" s="2"/>
      <c r="D26" s="2"/>
      <c r="E26" s="2"/>
      <c r="F26" s="2"/>
      <c r="G26" s="2"/>
    </row>
    <row r="27" spans="1:9" s="26" customFormat="1" ht="13.5" thickBot="1" x14ac:dyDescent="0.25">
      <c r="B27" s="51"/>
      <c r="D27" s="2"/>
      <c r="E27" s="2"/>
      <c r="F27" s="2"/>
    </row>
    <row r="28" spans="1:9" s="26" customFormat="1" ht="33" customHeight="1" thickBot="1" x14ac:dyDescent="0.25">
      <c r="C28" s="60" t="s">
        <v>36</v>
      </c>
      <c r="D28" s="2"/>
      <c r="E28" s="2"/>
      <c r="F28" s="2"/>
      <c r="G28" s="2"/>
    </row>
    <row r="29" spans="1:9" s="26" customFormat="1" ht="7.5" customHeight="1" thickBot="1" x14ac:dyDescent="0.25">
      <c r="C29" s="51"/>
      <c r="D29" s="2"/>
      <c r="E29" s="2"/>
      <c r="F29" s="2"/>
      <c r="G29" s="2"/>
    </row>
    <row r="30" spans="1:9" s="27" customFormat="1" ht="39.75" customHeight="1" x14ac:dyDescent="0.2">
      <c r="A30" s="466" t="s">
        <v>38</v>
      </c>
      <c r="B30" s="467"/>
      <c r="C30" s="62">
        <f>C31</f>
        <v>5318626.9686156679</v>
      </c>
      <c r="D30" s="337"/>
      <c r="E30" s="2"/>
      <c r="F30" s="2"/>
      <c r="H30" s="49"/>
    </row>
    <row r="31" spans="1:9" s="28" customFormat="1" ht="20.100000000000001" customHeight="1" x14ac:dyDescent="0.2">
      <c r="A31" s="507" t="s">
        <v>37</v>
      </c>
      <c r="B31" s="508"/>
      <c r="C31" s="509">
        <f>SUM(C32:C32)</f>
        <v>5318626.9686156679</v>
      </c>
      <c r="D31" s="2"/>
      <c r="E31" s="2"/>
      <c r="F31" s="2"/>
      <c r="I31" s="50"/>
    </row>
    <row r="32" spans="1:9" s="29" customFormat="1" ht="20.100000000000001" customHeight="1" x14ac:dyDescent="0.2">
      <c r="A32" s="521" t="s">
        <v>34</v>
      </c>
      <c r="B32" s="511"/>
      <c r="C32" s="512">
        <v>5318626.9686156679</v>
      </c>
      <c r="D32" s="2"/>
      <c r="E32" s="2"/>
      <c r="F32" s="2"/>
    </row>
    <row r="33" spans="1:8" s="28" customFormat="1" ht="20.100000000000001" customHeight="1" x14ac:dyDescent="0.2">
      <c r="A33" s="522" t="s">
        <v>31</v>
      </c>
      <c r="B33" s="514"/>
      <c r="C33" s="523" t="s">
        <v>28</v>
      </c>
      <c r="D33" s="2"/>
      <c r="E33" s="2"/>
      <c r="F33" s="2"/>
    </row>
    <row r="34" spans="1:8" s="28" customFormat="1" ht="20.100000000000001" customHeight="1" x14ac:dyDescent="0.2">
      <c r="A34" s="521" t="s">
        <v>40</v>
      </c>
      <c r="B34" s="514"/>
      <c r="C34" s="524" t="s">
        <v>28</v>
      </c>
      <c r="D34" s="2"/>
      <c r="E34" s="2"/>
      <c r="F34" s="2"/>
    </row>
    <row r="35" spans="1:8" s="28" customFormat="1" ht="20.100000000000001" customHeight="1" thickBot="1" x14ac:dyDescent="0.25">
      <c r="A35" s="525" t="s">
        <v>39</v>
      </c>
      <c r="B35" s="519"/>
      <c r="C35" s="526" t="s">
        <v>28</v>
      </c>
      <c r="D35" s="2"/>
      <c r="E35" s="2"/>
      <c r="F35" s="2"/>
    </row>
    <row r="36" spans="1:8" s="27" customFormat="1" x14ac:dyDescent="0.2">
      <c r="A36" s="241" t="s">
        <v>147</v>
      </c>
    </row>
    <row r="37" spans="1:8" x14ac:dyDescent="0.2">
      <c r="A37" s="14"/>
      <c r="B37" s="15"/>
      <c r="E37" s="2"/>
      <c r="F37" s="2"/>
      <c r="G37" s="2"/>
      <c r="H37" s="2"/>
    </row>
    <row r="38" spans="1:8" s="2" customFormat="1" ht="15" customHeight="1" x14ac:dyDescent="0.2">
      <c r="A38" s="5" t="s">
        <v>123</v>
      </c>
      <c r="B38" s="5"/>
    </row>
    <row r="39" spans="1:8" ht="13.5" thickBot="1" x14ac:dyDescent="0.25"/>
    <row r="40" spans="1:8" s="2" customFormat="1" ht="30.75" customHeight="1" x14ac:dyDescent="0.2">
      <c r="A40" s="528" t="s">
        <v>0</v>
      </c>
      <c r="B40" s="529" t="s">
        <v>8</v>
      </c>
      <c r="C40" s="1"/>
      <c r="D40" s="1"/>
      <c r="E40" s="1"/>
      <c r="F40" s="1"/>
      <c r="G40" s="1"/>
    </row>
    <row r="41" spans="1:8" ht="15" customHeight="1" x14ac:dyDescent="0.2">
      <c r="A41" s="71" t="s">
        <v>54</v>
      </c>
      <c r="B41" s="64">
        <v>0.38319999999999999</v>
      </c>
      <c r="D41" s="63"/>
    </row>
    <row r="42" spans="1:8" ht="15" customHeight="1" x14ac:dyDescent="0.2">
      <c r="A42" s="57" t="s">
        <v>42</v>
      </c>
      <c r="B42" s="65">
        <v>0.40570000000000001</v>
      </c>
      <c r="D42" s="63"/>
    </row>
    <row r="43" spans="1:8" ht="15" customHeight="1" x14ac:dyDescent="0.2">
      <c r="A43" s="57" t="s">
        <v>43</v>
      </c>
      <c r="B43" s="65">
        <v>0.11609999999999999</v>
      </c>
      <c r="D43" s="63"/>
    </row>
    <row r="44" spans="1:8" ht="15" customHeight="1" x14ac:dyDescent="0.2">
      <c r="A44" s="3" t="s">
        <v>44</v>
      </c>
      <c r="B44" s="65">
        <v>9.5000000000000001E-2</v>
      </c>
      <c r="D44" s="63"/>
    </row>
    <row r="45" spans="1:8" ht="15" customHeight="1" thickBot="1" x14ac:dyDescent="0.25">
      <c r="A45" s="69" t="s">
        <v>45</v>
      </c>
      <c r="B45" s="66">
        <v>0</v>
      </c>
      <c r="D45" s="63"/>
    </row>
    <row r="46" spans="1:8" ht="10.5" customHeight="1" thickBot="1" x14ac:dyDescent="0.25"/>
    <row r="47" spans="1:8" ht="15" customHeight="1" thickBot="1" x14ac:dyDescent="0.25">
      <c r="A47" s="68" t="s">
        <v>1</v>
      </c>
      <c r="B47" s="67">
        <f>SUM(B41:B45)</f>
        <v>0.99999999999999989</v>
      </c>
      <c r="D47" s="63"/>
    </row>
    <row r="48" spans="1:8" ht="20.100000000000001" customHeight="1" x14ac:dyDescent="0.2">
      <c r="A48" s="241" t="s">
        <v>120</v>
      </c>
      <c r="B48" s="17"/>
    </row>
    <row r="49" spans="1:4" x14ac:dyDescent="0.2">
      <c r="A49" s="241"/>
      <c r="B49" s="23"/>
    </row>
    <row r="50" spans="1:4" ht="14.25" customHeight="1" x14ac:dyDescent="0.2"/>
    <row r="51" spans="1:4" s="2" customFormat="1" ht="15" customHeight="1" x14ac:dyDescent="0.2">
      <c r="A51" s="5" t="s">
        <v>122</v>
      </c>
      <c r="B51" s="5"/>
    </row>
    <row r="52" spans="1:4" ht="5.0999999999999996" customHeight="1" thickBot="1" x14ac:dyDescent="0.25"/>
    <row r="53" spans="1:4" s="2" customFormat="1" ht="22.5" customHeight="1" x14ac:dyDescent="0.2">
      <c r="A53" s="457" t="s">
        <v>0</v>
      </c>
      <c r="B53" s="31" t="s">
        <v>5</v>
      </c>
      <c r="C53" s="31"/>
      <c r="D53" s="30"/>
    </row>
    <row r="54" spans="1:4" s="2" customFormat="1" ht="27" customHeight="1" x14ac:dyDescent="0.2">
      <c r="A54" s="458"/>
      <c r="B54" s="32" t="s">
        <v>6</v>
      </c>
      <c r="C54" s="32" t="s">
        <v>7</v>
      </c>
      <c r="D54" s="33" t="s">
        <v>4</v>
      </c>
    </row>
    <row r="55" spans="1:4" ht="15" customHeight="1" x14ac:dyDescent="0.2">
      <c r="A55" s="71" t="s">
        <v>54</v>
      </c>
      <c r="B55" s="20">
        <v>1</v>
      </c>
      <c r="C55" s="20">
        <f>1-B55</f>
        <v>0</v>
      </c>
      <c r="D55" s="7">
        <f>SUM(B55:C55)</f>
        <v>1</v>
      </c>
    </row>
    <row r="56" spans="1:4" ht="15" customHeight="1" x14ac:dyDescent="0.2">
      <c r="A56" s="57" t="s">
        <v>42</v>
      </c>
      <c r="B56" s="21">
        <v>0.75</v>
      </c>
      <c r="C56" s="21">
        <f>1-B56</f>
        <v>0.25</v>
      </c>
      <c r="D56" s="8">
        <f>SUM(B56:C56)</f>
        <v>1</v>
      </c>
    </row>
    <row r="57" spans="1:4" ht="15" customHeight="1" x14ac:dyDescent="0.2">
      <c r="A57" s="57" t="s">
        <v>43</v>
      </c>
      <c r="B57" s="21">
        <v>0.75</v>
      </c>
      <c r="C57" s="21">
        <f>1-B57</f>
        <v>0.25</v>
      </c>
      <c r="D57" s="8">
        <f>SUM(B57:C57)</f>
        <v>1</v>
      </c>
    </row>
    <row r="58" spans="1:4" ht="15" customHeight="1" x14ac:dyDescent="0.2">
      <c r="A58" s="3" t="s">
        <v>44</v>
      </c>
      <c r="B58" s="21">
        <v>0.75</v>
      </c>
      <c r="C58" s="21">
        <f>1-B58</f>
        <v>0.25</v>
      </c>
      <c r="D58" s="8">
        <f>SUM(B58:C58)</f>
        <v>1</v>
      </c>
    </row>
    <row r="59" spans="1:4" ht="15" customHeight="1" thickBot="1" x14ac:dyDescent="0.25">
      <c r="A59" s="69" t="s">
        <v>45</v>
      </c>
      <c r="B59" s="22">
        <v>0.75</v>
      </c>
      <c r="C59" s="22">
        <f>1-B59</f>
        <v>0.25</v>
      </c>
      <c r="D59" s="9">
        <f>SUM(B59:C59)</f>
        <v>1</v>
      </c>
    </row>
    <row r="60" spans="1:4" ht="20.100000000000001" customHeight="1" x14ac:dyDescent="0.2">
      <c r="A60" s="209" t="s">
        <v>121</v>
      </c>
      <c r="B60" s="17"/>
    </row>
    <row r="61" spans="1:4" x14ac:dyDescent="0.2">
      <c r="A61" s="209"/>
      <c r="B61" s="17"/>
    </row>
    <row r="62" spans="1:4" ht="20.100000000000001" customHeight="1" x14ac:dyDescent="0.2">
      <c r="A62" s="5" t="s">
        <v>124</v>
      </c>
      <c r="B62" s="17"/>
    </row>
    <row r="63" spans="1:4" x14ac:dyDescent="0.2">
      <c r="A63" s="16"/>
      <c r="B63" s="23"/>
    </row>
    <row r="64" spans="1:4" ht="18.75" customHeight="1" x14ac:dyDescent="0.2">
      <c r="A64" s="242" t="s">
        <v>125</v>
      </c>
      <c r="B64" s="10"/>
      <c r="C64" s="10"/>
      <c r="D64" s="10"/>
    </row>
    <row r="65" spans="1:12" ht="5.0999999999999996" customHeight="1" thickBot="1" x14ac:dyDescent="0.25">
      <c r="A65" s="242"/>
      <c r="B65" s="10"/>
      <c r="C65" s="10"/>
      <c r="D65" s="10"/>
    </row>
    <row r="66" spans="1:12" s="2" customFormat="1" ht="18.75" customHeight="1" thickBot="1" x14ac:dyDescent="0.25">
      <c r="A66" s="243" t="s">
        <v>24</v>
      </c>
      <c r="B66" s="244"/>
      <c r="C66" s="245"/>
      <c r="D66" s="245"/>
      <c r="E66" s="245"/>
      <c r="F66" s="39">
        <v>2000</v>
      </c>
    </row>
    <row r="67" spans="1:12" ht="11.25" customHeight="1" thickBot="1" x14ac:dyDescent="0.25">
      <c r="G67" s="2"/>
      <c r="H67" s="2"/>
      <c r="I67" s="2"/>
      <c r="J67" s="2"/>
      <c r="K67" s="2"/>
    </row>
    <row r="68" spans="1:12" customFormat="1" ht="21.75" customHeight="1" x14ac:dyDescent="0.2">
      <c r="A68" s="470" t="s">
        <v>3</v>
      </c>
      <c r="B68" s="31" t="s">
        <v>0</v>
      </c>
      <c r="C68" s="31"/>
      <c r="D68" s="31"/>
      <c r="E68" s="31"/>
      <c r="F68" s="30"/>
      <c r="G68" s="2"/>
      <c r="H68" s="2"/>
      <c r="I68" s="2"/>
      <c r="J68" s="2"/>
      <c r="K68" s="2"/>
    </row>
    <row r="69" spans="1:12" customFormat="1" ht="21.75" customHeight="1" x14ac:dyDescent="0.2">
      <c r="A69" s="471"/>
      <c r="B69" s="32">
        <v>0</v>
      </c>
      <c r="C69" s="32">
        <v>1</v>
      </c>
      <c r="D69" s="32">
        <v>2</v>
      </c>
      <c r="E69" s="32">
        <v>3</v>
      </c>
      <c r="F69" s="33">
        <v>4</v>
      </c>
      <c r="G69" s="2"/>
      <c r="H69" s="2"/>
      <c r="I69" s="2"/>
      <c r="J69" s="2"/>
      <c r="K69" s="2"/>
    </row>
    <row r="70" spans="1:12" customFormat="1" ht="15" customHeight="1" x14ac:dyDescent="0.2">
      <c r="A70" s="18">
        <v>1</v>
      </c>
      <c r="B70" s="40">
        <v>0.33500000000000002</v>
      </c>
      <c r="C70" s="40">
        <v>0.33850000000000002</v>
      </c>
      <c r="D70" s="40">
        <v>0.32300000000000001</v>
      </c>
      <c r="E70" s="40">
        <v>0.3145</v>
      </c>
      <c r="F70" s="41">
        <v>0.32300000000000001</v>
      </c>
      <c r="G70" s="2"/>
      <c r="H70" s="2"/>
      <c r="I70" s="2"/>
      <c r="J70" s="2"/>
      <c r="K70" s="2"/>
      <c r="L70" s="24"/>
    </row>
    <row r="71" spans="1:12" customFormat="1" ht="15" customHeight="1" x14ac:dyDescent="0.2">
      <c r="A71" s="18">
        <v>2</v>
      </c>
      <c r="B71" s="40">
        <v>0.3165</v>
      </c>
      <c r="C71" s="40">
        <v>0.30549999999999999</v>
      </c>
      <c r="D71" s="40">
        <v>0.32100000000000001</v>
      </c>
      <c r="E71" s="40">
        <v>0.28449999999999998</v>
      </c>
      <c r="F71" s="41">
        <v>0.308</v>
      </c>
      <c r="G71" s="2"/>
      <c r="H71" s="2"/>
      <c r="I71" s="2"/>
      <c r="J71" s="2"/>
      <c r="K71" s="2"/>
      <c r="L71" s="24"/>
    </row>
    <row r="72" spans="1:12" customFormat="1" ht="15" customHeight="1" x14ac:dyDescent="0.2">
      <c r="A72" s="18">
        <v>3</v>
      </c>
      <c r="B72" s="40">
        <v>0.124</v>
      </c>
      <c r="C72" s="40">
        <v>0.1925</v>
      </c>
      <c r="D72" s="40">
        <v>0.2145</v>
      </c>
      <c r="E72" s="40">
        <v>0.2235</v>
      </c>
      <c r="F72" s="41">
        <v>0.2175</v>
      </c>
      <c r="G72" s="2"/>
      <c r="H72" s="2"/>
      <c r="I72" s="2"/>
      <c r="J72" s="2"/>
      <c r="K72" s="2"/>
      <c r="L72" s="24"/>
    </row>
    <row r="73" spans="1:12" customFormat="1" ht="15" customHeight="1" x14ac:dyDescent="0.2">
      <c r="A73" s="18">
        <v>4</v>
      </c>
      <c r="B73" s="40">
        <v>0.106</v>
      </c>
      <c r="C73" s="40">
        <v>0.14899999999999999</v>
      </c>
      <c r="D73" s="40">
        <v>0.13400000000000001</v>
      </c>
      <c r="E73" s="40">
        <v>0.158</v>
      </c>
      <c r="F73" s="41">
        <v>0.13800000000000001</v>
      </c>
      <c r="G73" s="2"/>
      <c r="H73" s="2"/>
      <c r="I73" s="2"/>
      <c r="J73" s="2"/>
      <c r="K73" s="2"/>
      <c r="L73" s="24"/>
    </row>
    <row r="74" spans="1:12" customFormat="1" ht="15" customHeight="1" x14ac:dyDescent="0.2">
      <c r="A74" s="18">
        <v>5</v>
      </c>
      <c r="B74" s="40">
        <v>8.5000000000000006E-3</v>
      </c>
      <c r="C74" s="40">
        <v>6.4999999999999997E-3</v>
      </c>
      <c r="D74" s="40">
        <v>3.0000000000000001E-3</v>
      </c>
      <c r="E74" s="40">
        <v>5.4999999999999997E-3</v>
      </c>
      <c r="F74" s="41">
        <v>2E-3</v>
      </c>
      <c r="G74" s="2"/>
      <c r="H74" s="2"/>
      <c r="I74" s="2"/>
      <c r="J74" s="2"/>
      <c r="K74" s="2"/>
      <c r="L74" s="24"/>
    </row>
    <row r="75" spans="1:12" customFormat="1" ht="15" customHeight="1" thickBot="1" x14ac:dyDescent="0.25">
      <c r="A75" s="19">
        <v>6</v>
      </c>
      <c r="B75" s="42">
        <v>0.11</v>
      </c>
      <c r="C75" s="42">
        <v>8.0000000000000002E-3</v>
      </c>
      <c r="D75" s="42">
        <v>4.4999999999999997E-3</v>
      </c>
      <c r="E75" s="42">
        <v>1.4E-2</v>
      </c>
      <c r="F75" s="43">
        <v>1.15E-2</v>
      </c>
      <c r="G75" s="2"/>
      <c r="H75" s="2"/>
      <c r="I75" s="2"/>
      <c r="J75" s="2"/>
      <c r="K75" s="2"/>
      <c r="L75" s="24"/>
    </row>
    <row r="76" spans="1:12" customFormat="1" ht="4.5" customHeight="1" thickBot="1" x14ac:dyDescent="0.25">
      <c r="B76" s="24"/>
      <c r="C76" s="24"/>
      <c r="D76" s="24"/>
      <c r="E76" s="24"/>
      <c r="F76" s="24"/>
      <c r="G76" s="2"/>
      <c r="H76" s="2"/>
      <c r="I76" s="2"/>
      <c r="J76" s="2"/>
      <c r="K76" s="2"/>
    </row>
    <row r="77" spans="1:12" customFormat="1" ht="15" customHeight="1" thickBot="1" x14ac:dyDescent="0.25">
      <c r="A77" s="34" t="s">
        <v>1</v>
      </c>
      <c r="B77" s="35">
        <f>SUM(B70:B75)</f>
        <v>0.99999999999999989</v>
      </c>
      <c r="C77" s="35">
        <f>SUM(C70:C75)</f>
        <v>1</v>
      </c>
      <c r="D77" s="35">
        <f>SUM(D70:D75)</f>
        <v>1</v>
      </c>
      <c r="E77" s="35">
        <f>SUM(E70:E75)</f>
        <v>1</v>
      </c>
      <c r="F77" s="36">
        <f>SUM(F70:F75)</f>
        <v>1</v>
      </c>
      <c r="G77" s="2"/>
      <c r="H77" s="2"/>
      <c r="I77" s="2"/>
      <c r="J77" s="2"/>
      <c r="K77" s="2"/>
    </row>
    <row r="78" spans="1:12" ht="20.100000000000001" customHeight="1" x14ac:dyDescent="0.2">
      <c r="A78" s="209" t="s">
        <v>127</v>
      </c>
      <c r="B78" s="44"/>
      <c r="C78" s="45"/>
      <c r="D78" s="45"/>
      <c r="E78" s="45"/>
      <c r="F78" s="45"/>
      <c r="G78" s="2"/>
      <c r="H78" s="2"/>
      <c r="I78" s="2"/>
      <c r="J78" s="2"/>
      <c r="K78" s="2"/>
    </row>
    <row r="79" spans="1:12" x14ac:dyDescent="0.2">
      <c r="A79" s="209"/>
      <c r="B79" s="44"/>
      <c r="C79" s="45"/>
      <c r="D79" s="45"/>
      <c r="E79" s="45"/>
      <c r="F79" s="45"/>
      <c r="G79" s="2"/>
      <c r="H79" s="2"/>
      <c r="I79" s="2"/>
      <c r="J79" s="2"/>
      <c r="K79" s="2"/>
    </row>
    <row r="80" spans="1:12" ht="20.100000000000001" customHeight="1" x14ac:dyDescent="0.2">
      <c r="A80" s="242" t="s">
        <v>126</v>
      </c>
      <c r="B80" s="23"/>
    </row>
    <row r="81" spans="1:11" ht="5.0999999999999996" customHeight="1" thickBot="1" x14ac:dyDescent="0.25">
      <c r="A81" s="16"/>
      <c r="B81" s="23"/>
    </row>
    <row r="82" spans="1:11" s="2" customFormat="1" ht="15.75" customHeight="1" thickBot="1" x14ac:dyDescent="0.25">
      <c r="A82" s="243" t="s">
        <v>24</v>
      </c>
      <c r="B82" s="244"/>
      <c r="C82" s="245"/>
      <c r="D82" s="245"/>
      <c r="E82" s="245"/>
      <c r="F82" s="39">
        <f>F66</f>
        <v>2000</v>
      </c>
    </row>
    <row r="83" spans="1:11" ht="5.0999999999999996" customHeight="1" thickBot="1" x14ac:dyDescent="0.25">
      <c r="G83" s="2"/>
      <c r="H83" s="2"/>
      <c r="I83" s="2"/>
      <c r="J83" s="2"/>
      <c r="K83" s="2"/>
    </row>
    <row r="84" spans="1:11" customFormat="1" ht="18.75" customHeight="1" x14ac:dyDescent="0.2">
      <c r="A84" s="470" t="s">
        <v>3</v>
      </c>
      <c r="B84" s="31" t="s">
        <v>0</v>
      </c>
      <c r="C84" s="31"/>
      <c r="D84" s="31"/>
      <c r="E84" s="31"/>
      <c r="F84" s="30"/>
      <c r="G84" s="2"/>
      <c r="H84" s="2"/>
      <c r="I84" s="2"/>
      <c r="J84" s="2"/>
      <c r="K84" s="2"/>
    </row>
    <row r="85" spans="1:11" customFormat="1" ht="18.75" customHeight="1" x14ac:dyDescent="0.2">
      <c r="A85" s="471"/>
      <c r="B85" s="32">
        <v>0</v>
      </c>
      <c r="C85" s="32">
        <v>1</v>
      </c>
      <c r="D85" s="32">
        <v>2</v>
      </c>
      <c r="E85" s="32">
        <v>3</v>
      </c>
      <c r="F85" s="33">
        <v>4</v>
      </c>
      <c r="G85" s="2"/>
      <c r="H85" s="2"/>
      <c r="I85" s="2"/>
      <c r="J85" s="2"/>
      <c r="K85" s="2"/>
    </row>
    <row r="86" spans="1:11" customFormat="1" ht="15" customHeight="1" x14ac:dyDescent="0.2">
      <c r="A86" s="18">
        <v>1</v>
      </c>
      <c r="B86" s="40">
        <v>0.33500000000000002</v>
      </c>
      <c r="C86" s="40">
        <v>0.33850000000000002</v>
      </c>
      <c r="D86" s="40">
        <v>0.32300000000000001</v>
      </c>
      <c r="E86" s="40">
        <v>0.3145</v>
      </c>
      <c r="F86" s="41">
        <v>0.32300000000000001</v>
      </c>
      <c r="G86" s="53"/>
      <c r="H86" s="53"/>
      <c r="I86" s="53"/>
      <c r="J86" s="53"/>
      <c r="K86" s="2"/>
    </row>
    <row r="87" spans="1:11" customFormat="1" ht="15" customHeight="1" x14ac:dyDescent="0.2">
      <c r="A87" s="18">
        <v>2</v>
      </c>
      <c r="B87" s="40">
        <v>0.3165</v>
      </c>
      <c r="C87" s="40">
        <v>0.30549999999999999</v>
      </c>
      <c r="D87" s="40">
        <v>0.32100000000000001</v>
      </c>
      <c r="E87" s="40">
        <v>0.28449999999999998</v>
      </c>
      <c r="F87" s="41">
        <v>0.308</v>
      </c>
      <c r="G87" s="2"/>
      <c r="H87" s="2"/>
      <c r="I87" s="2"/>
      <c r="J87" s="2"/>
      <c r="K87" s="2"/>
    </row>
    <row r="88" spans="1:11" customFormat="1" ht="15" customHeight="1" x14ac:dyDescent="0.2">
      <c r="A88" s="18">
        <v>3</v>
      </c>
      <c r="B88" s="40">
        <v>0.124</v>
      </c>
      <c r="C88" s="40">
        <v>0.1925</v>
      </c>
      <c r="D88" s="40">
        <v>0.2145</v>
      </c>
      <c r="E88" s="40">
        <v>0.2235</v>
      </c>
      <c r="F88" s="41">
        <v>0.2175</v>
      </c>
      <c r="G88" s="2"/>
      <c r="H88" s="2"/>
      <c r="I88" s="2"/>
      <c r="J88" s="2"/>
      <c r="K88" s="2"/>
    </row>
    <row r="89" spans="1:11" customFormat="1" ht="15" customHeight="1" x14ac:dyDescent="0.2">
      <c r="A89" s="18">
        <v>4</v>
      </c>
      <c r="B89" s="40">
        <v>0.106</v>
      </c>
      <c r="C89" s="40">
        <v>0.14899999999999999</v>
      </c>
      <c r="D89" s="40">
        <v>0.13400000000000001</v>
      </c>
      <c r="E89" s="40">
        <v>0.158</v>
      </c>
      <c r="F89" s="41">
        <v>0.13800000000000001</v>
      </c>
      <c r="G89" s="2"/>
      <c r="H89" s="2"/>
      <c r="I89" s="2"/>
      <c r="J89" s="2"/>
      <c r="K89" s="2"/>
    </row>
    <row r="90" spans="1:11" customFormat="1" ht="15" customHeight="1" x14ac:dyDescent="0.2">
      <c r="A90" s="18">
        <v>5</v>
      </c>
      <c r="B90" s="40">
        <v>8.5000000000000006E-3</v>
      </c>
      <c r="C90" s="40">
        <v>6.4999999999999997E-3</v>
      </c>
      <c r="D90" s="40">
        <v>3.0000000000000001E-3</v>
      </c>
      <c r="E90" s="40">
        <v>5.4999999999999997E-3</v>
      </c>
      <c r="F90" s="41">
        <v>2E-3</v>
      </c>
      <c r="G90" s="2"/>
      <c r="H90" s="2"/>
      <c r="I90" s="2"/>
      <c r="J90" s="2"/>
      <c r="K90" s="2"/>
    </row>
    <row r="91" spans="1:11" customFormat="1" ht="15" customHeight="1" thickBot="1" x14ac:dyDescent="0.25">
      <c r="A91" s="19">
        <v>6</v>
      </c>
      <c r="B91" s="42">
        <v>0.11</v>
      </c>
      <c r="C91" s="42">
        <v>8.0000000000000002E-3</v>
      </c>
      <c r="D91" s="42">
        <v>4.4999999999999997E-3</v>
      </c>
      <c r="E91" s="42">
        <v>1.4E-2</v>
      </c>
      <c r="F91" s="43">
        <v>1.15E-2</v>
      </c>
      <c r="G91" s="2"/>
      <c r="H91" s="2"/>
      <c r="I91" s="2"/>
      <c r="J91" s="2"/>
      <c r="K91" s="2"/>
    </row>
    <row r="92" spans="1:11" customFormat="1" ht="5.0999999999999996" customHeight="1" thickBot="1" x14ac:dyDescent="0.25">
      <c r="B92" s="25"/>
      <c r="C92" s="25"/>
      <c r="D92" s="25"/>
      <c r="E92" s="25"/>
      <c r="F92" s="25"/>
      <c r="G92" s="2"/>
      <c r="H92" s="2"/>
      <c r="I92" s="2"/>
      <c r="J92" s="2"/>
      <c r="K92" s="2"/>
    </row>
    <row r="93" spans="1:11" customFormat="1" ht="15" customHeight="1" thickBot="1" x14ac:dyDescent="0.25">
      <c r="A93" s="34" t="s">
        <v>1</v>
      </c>
      <c r="B93" s="35">
        <f>SUM(B86:B91)</f>
        <v>0.99999999999999989</v>
      </c>
      <c r="C93" s="35">
        <f>SUM(C86:C91)</f>
        <v>1</v>
      </c>
      <c r="D93" s="35">
        <f>SUM(D86:D91)</f>
        <v>1</v>
      </c>
      <c r="E93" s="35">
        <f>SUM(E86:E91)</f>
        <v>1</v>
      </c>
      <c r="F93" s="36">
        <f>SUM(F86:F91)</f>
        <v>1</v>
      </c>
      <c r="G93" s="2"/>
      <c r="H93" s="2"/>
      <c r="I93" s="2"/>
      <c r="J93" s="2"/>
      <c r="K93" s="2"/>
    </row>
    <row r="94" spans="1:11" x14ac:dyDescent="0.2">
      <c r="A94" s="209" t="s">
        <v>127</v>
      </c>
      <c r="B94" s="210"/>
      <c r="G94" s="2"/>
      <c r="H94" s="2"/>
      <c r="I94" s="2"/>
      <c r="J94" s="2"/>
      <c r="K94" s="2"/>
    </row>
    <row r="95" spans="1:11" x14ac:dyDescent="0.2">
      <c r="A95" s="209"/>
      <c r="B95" s="23"/>
    </row>
    <row r="96" spans="1:11" x14ac:dyDescent="0.2">
      <c r="A96" s="16"/>
      <c r="B96" s="15"/>
    </row>
    <row r="97" spans="1:16" s="2" customFormat="1" ht="20.100000000000001" customHeight="1" x14ac:dyDescent="0.2">
      <c r="A97" s="5" t="s">
        <v>22</v>
      </c>
      <c r="B97" s="5"/>
      <c r="K97" s="1"/>
    </row>
    <row r="98" spans="1:16" ht="5.0999999999999996" customHeight="1" thickBot="1" x14ac:dyDescent="0.25">
      <c r="C98" s="325"/>
      <c r="D98" s="325"/>
      <c r="E98" s="325"/>
      <c r="F98" s="325"/>
      <c r="G98" s="325"/>
      <c r="H98" s="325"/>
      <c r="I98" s="325"/>
    </row>
    <row r="99" spans="1:16" s="2" customFormat="1" ht="20.100000000000001" customHeight="1" x14ac:dyDescent="0.2">
      <c r="A99" s="470" t="s">
        <v>56</v>
      </c>
      <c r="B99" s="468" t="s">
        <v>102</v>
      </c>
      <c r="C99" s="31" t="s">
        <v>3</v>
      </c>
      <c r="D99" s="31"/>
      <c r="E99" s="31"/>
      <c r="F99" s="31"/>
      <c r="G99" s="31"/>
      <c r="H99" s="31"/>
      <c r="I99" s="30"/>
    </row>
    <row r="100" spans="1:16" s="2" customFormat="1" ht="20.100000000000001" customHeight="1" x14ac:dyDescent="0.2">
      <c r="A100" s="471"/>
      <c r="B100" s="469"/>
      <c r="C100" s="32">
        <v>1</v>
      </c>
      <c r="D100" s="32">
        <v>2</v>
      </c>
      <c r="E100" s="32">
        <v>3</v>
      </c>
      <c r="F100" s="32">
        <v>4</v>
      </c>
      <c r="G100" s="32">
        <v>5</v>
      </c>
      <c r="H100" s="32">
        <v>6</v>
      </c>
      <c r="I100" s="33" t="s">
        <v>4</v>
      </c>
    </row>
    <row r="101" spans="1:16" ht="15" customHeight="1" x14ac:dyDescent="0.2">
      <c r="A101" s="6" t="s">
        <v>55</v>
      </c>
      <c r="B101" s="206" t="s">
        <v>103</v>
      </c>
      <c r="C101" s="335">
        <v>8473.7882774330428</v>
      </c>
      <c r="D101" s="335">
        <v>10405.943623362104</v>
      </c>
      <c r="E101" s="335">
        <v>8196.8422015418182</v>
      </c>
      <c r="F101" s="335">
        <v>9362.6141061907856</v>
      </c>
      <c r="G101" s="335">
        <v>3904.1337762604626</v>
      </c>
      <c r="H101" s="335">
        <v>35378.690024054922</v>
      </c>
      <c r="I101" s="334">
        <f>SUM(C101:H101)</f>
        <v>75722.012008843129</v>
      </c>
      <c r="K101" s="325"/>
      <c r="L101" s="325"/>
      <c r="M101" s="325"/>
      <c r="N101" s="325"/>
      <c r="O101" s="325"/>
      <c r="P101" s="325"/>
    </row>
    <row r="102" spans="1:16" ht="15" customHeight="1" x14ac:dyDescent="0.2">
      <c r="A102" s="6" t="s">
        <v>55</v>
      </c>
      <c r="B102" s="207" t="s">
        <v>104</v>
      </c>
      <c r="C102" s="336">
        <v>4631.8378318954283</v>
      </c>
      <c r="D102" s="336">
        <v>5255.6623005459351</v>
      </c>
      <c r="E102" s="336">
        <v>4726.7560221323274</v>
      </c>
      <c r="F102" s="336">
        <v>5349.139615853991</v>
      </c>
      <c r="G102" s="336">
        <v>2093.9453448652357</v>
      </c>
      <c r="H102" s="336">
        <v>15340.720331671018</v>
      </c>
      <c r="I102" s="11">
        <f t="shared" ref="I102:I106" si="0">SUM(C102:H102)</f>
        <v>37398.06144696394</v>
      </c>
      <c r="K102" s="325"/>
      <c r="L102" s="325"/>
      <c r="M102" s="325"/>
      <c r="N102" s="325"/>
      <c r="O102" s="325"/>
      <c r="P102" s="325"/>
    </row>
    <row r="103" spans="1:16" ht="15" customHeight="1" x14ac:dyDescent="0.2">
      <c r="A103" s="6" t="s">
        <v>42</v>
      </c>
      <c r="B103" s="207" t="s">
        <v>105</v>
      </c>
      <c r="C103" s="336">
        <v>7348.3574614952049</v>
      </c>
      <c r="D103" s="336">
        <v>8850.1672075083297</v>
      </c>
      <c r="E103" s="336">
        <v>8367.8992446384764</v>
      </c>
      <c r="F103" s="336">
        <v>9713.7997050765425</v>
      </c>
      <c r="G103" s="336">
        <v>4018.63972367629</v>
      </c>
      <c r="H103" s="336">
        <v>31887.696200079459</v>
      </c>
      <c r="I103" s="11">
        <f t="shared" si="0"/>
        <v>70186.559542474308</v>
      </c>
      <c r="K103" s="325"/>
      <c r="L103" s="325"/>
      <c r="M103" s="325"/>
      <c r="N103" s="325"/>
      <c r="O103" s="325"/>
      <c r="P103" s="325"/>
    </row>
    <row r="104" spans="1:16" ht="15" customHeight="1" x14ac:dyDescent="0.2">
      <c r="A104" s="6" t="s">
        <v>43</v>
      </c>
      <c r="B104" s="207" t="s">
        <v>106</v>
      </c>
      <c r="C104" s="336">
        <v>2249.0352405851459</v>
      </c>
      <c r="D104" s="336">
        <v>2913.0781876007759</v>
      </c>
      <c r="E104" s="336">
        <v>2644.3168427591686</v>
      </c>
      <c r="F104" s="336">
        <v>3128.2180964022727</v>
      </c>
      <c r="G104" s="336">
        <v>1378.2713170981565</v>
      </c>
      <c r="H104" s="336">
        <v>12410.288280022774</v>
      </c>
      <c r="I104" s="54">
        <f t="shared" si="0"/>
        <v>24723.207964468296</v>
      </c>
      <c r="K104" s="325"/>
      <c r="L104" s="325"/>
      <c r="M104" s="325"/>
      <c r="N104" s="325"/>
      <c r="O104" s="325"/>
      <c r="P104" s="325"/>
    </row>
    <row r="105" spans="1:16" ht="15" customHeight="1" x14ac:dyDescent="0.2">
      <c r="A105" s="6" t="s">
        <v>44</v>
      </c>
      <c r="B105" s="207" t="s">
        <v>107</v>
      </c>
      <c r="C105" s="336">
        <v>834.02187476251697</v>
      </c>
      <c r="D105" s="336">
        <v>1105.250781434265</v>
      </c>
      <c r="E105" s="336">
        <v>1053.2473693529735</v>
      </c>
      <c r="F105" s="336">
        <v>1267.6732117090162</v>
      </c>
      <c r="G105" s="336">
        <v>558.38566467954956</v>
      </c>
      <c r="H105" s="336">
        <v>5742.3188943006135</v>
      </c>
      <c r="I105" s="54">
        <f t="shared" si="0"/>
        <v>10560.897796238934</v>
      </c>
      <c r="K105" s="325"/>
      <c r="L105" s="325"/>
      <c r="M105" s="325"/>
      <c r="N105" s="325"/>
      <c r="O105" s="325"/>
      <c r="P105" s="325"/>
    </row>
    <row r="106" spans="1:16" ht="15" customHeight="1" thickBot="1" x14ac:dyDescent="0.25">
      <c r="A106" s="56" t="s">
        <v>45</v>
      </c>
      <c r="B106" s="208" t="s">
        <v>108</v>
      </c>
      <c r="C106" s="411">
        <v>1745.8772948880428</v>
      </c>
      <c r="D106" s="411">
        <v>2379.8944294305397</v>
      </c>
      <c r="E106" s="411">
        <v>2234.4041270323855</v>
      </c>
      <c r="F106" s="411">
        <v>2717.3199719521735</v>
      </c>
      <c r="G106" s="411">
        <v>1237.9314217128615</v>
      </c>
      <c r="H106" s="411">
        <v>13629.712246371733</v>
      </c>
      <c r="I106" s="55">
        <f t="shared" si="0"/>
        <v>23945.139491387738</v>
      </c>
      <c r="K106" s="325"/>
      <c r="L106" s="325"/>
      <c r="M106" s="325"/>
      <c r="N106" s="325"/>
      <c r="O106" s="325"/>
      <c r="P106" s="325"/>
    </row>
    <row r="107" spans="1:16" ht="8.25" customHeight="1" thickBot="1" x14ac:dyDescent="0.25">
      <c r="C107" s="12"/>
    </row>
    <row r="108" spans="1:16" ht="19.5" customHeight="1" thickBot="1" x14ac:dyDescent="0.25">
      <c r="A108" s="34" t="s">
        <v>1</v>
      </c>
      <c r="B108" s="59"/>
      <c r="C108" s="37">
        <f>SUM(C101:C106)</f>
        <v>25282.917981059381</v>
      </c>
      <c r="D108" s="37">
        <f t="shared" ref="D108:H108" si="1">SUM(D101:D106)</f>
        <v>30909.996529881948</v>
      </c>
      <c r="E108" s="37">
        <f t="shared" si="1"/>
        <v>27223.465807457149</v>
      </c>
      <c r="F108" s="37">
        <f t="shared" si="1"/>
        <v>31538.764707184782</v>
      </c>
      <c r="G108" s="37">
        <f t="shared" si="1"/>
        <v>13191.307248292556</v>
      </c>
      <c r="H108" s="37">
        <f t="shared" si="1"/>
        <v>114389.42597650051</v>
      </c>
      <c r="I108" s="38">
        <f>SUM(I101:I106)</f>
        <v>242535.87825037635</v>
      </c>
    </row>
    <row r="109" spans="1:16" x14ac:dyDescent="0.2">
      <c r="A109" s="16"/>
      <c r="I109" s="47"/>
    </row>
    <row r="110" spans="1:16" s="2" customFormat="1" ht="15" customHeight="1" x14ac:dyDescent="0.2">
      <c r="A110" s="5" t="s">
        <v>23</v>
      </c>
      <c r="B110" s="5"/>
      <c r="I110" s="12"/>
      <c r="J110" s="12"/>
      <c r="K110" s="12"/>
      <c r="L110" s="12"/>
      <c r="M110" s="12"/>
      <c r="N110" s="12"/>
    </row>
    <row r="111" spans="1:16" ht="5.0999999999999996" customHeight="1" thickBot="1" x14ac:dyDescent="0.25">
      <c r="I111" s="2"/>
    </row>
    <row r="112" spans="1:16" s="2" customFormat="1" ht="20.100000000000001" customHeight="1" x14ac:dyDescent="0.2">
      <c r="A112" s="470" t="s">
        <v>56</v>
      </c>
      <c r="B112" s="468" t="s">
        <v>102</v>
      </c>
      <c r="C112" s="31" t="s">
        <v>3</v>
      </c>
      <c r="D112" s="31"/>
      <c r="E112" s="31"/>
      <c r="F112" s="31"/>
      <c r="G112" s="31"/>
      <c r="H112" s="30"/>
    </row>
    <row r="113" spans="1:16" s="2" customFormat="1" ht="20.100000000000001" customHeight="1" x14ac:dyDescent="0.2">
      <c r="A113" s="471"/>
      <c r="B113" s="469"/>
      <c r="C113" s="32">
        <v>1</v>
      </c>
      <c r="D113" s="32">
        <v>2</v>
      </c>
      <c r="E113" s="32">
        <v>3</v>
      </c>
      <c r="F113" s="32">
        <v>4</v>
      </c>
      <c r="G113" s="32">
        <v>5</v>
      </c>
      <c r="H113" s="33">
        <v>6</v>
      </c>
    </row>
    <row r="114" spans="1:16" ht="15" customHeight="1" x14ac:dyDescent="0.2">
      <c r="A114" s="6" t="s">
        <v>55</v>
      </c>
      <c r="B114" s="206" t="s">
        <v>103</v>
      </c>
      <c r="C114" s="448">
        <v>122359.46472151612</v>
      </c>
      <c r="D114" s="448">
        <v>122359.46472151612</v>
      </c>
      <c r="E114" s="448">
        <v>122359.46472151612</v>
      </c>
      <c r="F114" s="448">
        <v>122359.46472151612</v>
      </c>
      <c r="G114" s="448">
        <v>122359.46472151612</v>
      </c>
      <c r="H114" s="449">
        <v>122408.68348218304</v>
      </c>
      <c r="K114" s="325"/>
      <c r="L114" s="325"/>
      <c r="M114" s="325"/>
      <c r="N114" s="325"/>
      <c r="O114" s="325"/>
      <c r="P114" s="325"/>
    </row>
    <row r="115" spans="1:16" ht="15" customHeight="1" x14ac:dyDescent="0.2">
      <c r="A115" s="6" t="s">
        <v>55</v>
      </c>
      <c r="B115" s="207" t="s">
        <v>104</v>
      </c>
      <c r="C115" s="450">
        <v>20650.841898649691</v>
      </c>
      <c r="D115" s="450">
        <v>20650.841898649691</v>
      </c>
      <c r="E115" s="450">
        <v>20650.841898649691</v>
      </c>
      <c r="F115" s="450">
        <v>20650.841898649691</v>
      </c>
      <c r="G115" s="450">
        <v>20650.841898649691</v>
      </c>
      <c r="H115" s="451">
        <v>20650.841898649691</v>
      </c>
      <c r="K115" s="325"/>
      <c r="L115" s="325"/>
      <c r="M115" s="325"/>
      <c r="N115" s="325"/>
      <c r="O115" s="325"/>
      <c r="P115" s="325"/>
    </row>
    <row r="116" spans="1:16" ht="15" customHeight="1" x14ac:dyDescent="0.2">
      <c r="A116" s="6" t="s">
        <v>42</v>
      </c>
      <c r="B116" s="207" t="s">
        <v>105</v>
      </c>
      <c r="C116" s="450">
        <v>17910.358725226339</v>
      </c>
      <c r="D116" s="450">
        <v>18100.43402872359</v>
      </c>
      <c r="E116" s="450">
        <v>18261.01800616832</v>
      </c>
      <c r="F116" s="450">
        <v>18351.717043986329</v>
      </c>
      <c r="G116" s="450">
        <v>18489.246648591979</v>
      </c>
      <c r="H116" s="451">
        <v>24962.36270159639</v>
      </c>
      <c r="K116" s="325"/>
      <c r="L116" s="325"/>
      <c r="M116" s="325"/>
      <c r="N116" s="325"/>
      <c r="O116" s="325"/>
      <c r="P116" s="325"/>
    </row>
    <row r="117" spans="1:16" ht="15" customHeight="1" x14ac:dyDescent="0.2">
      <c r="A117" s="6" t="s">
        <v>43</v>
      </c>
      <c r="B117" s="207" t="s">
        <v>106</v>
      </c>
      <c r="C117" s="450">
        <v>4588.3186794678977</v>
      </c>
      <c r="D117" s="450">
        <v>4765.1907981895301</v>
      </c>
      <c r="E117" s="450">
        <v>4789.1314839349761</v>
      </c>
      <c r="F117" s="450">
        <v>4842.4000771830069</v>
      </c>
      <c r="G117" s="450">
        <v>4888.079545788125</v>
      </c>
      <c r="H117" s="451">
        <v>6511.1736805344253</v>
      </c>
      <c r="K117" s="325"/>
      <c r="L117" s="325"/>
      <c r="M117" s="325"/>
      <c r="N117" s="325"/>
      <c r="O117" s="325"/>
      <c r="P117" s="325"/>
    </row>
    <row r="118" spans="1:16" ht="15" customHeight="1" x14ac:dyDescent="0.2">
      <c r="A118" s="6" t="s">
        <v>44</v>
      </c>
      <c r="B118" s="207" t="s">
        <v>107</v>
      </c>
      <c r="C118" s="450">
        <v>1834.3812100366376</v>
      </c>
      <c r="D118" s="450">
        <v>1930.0469980140933</v>
      </c>
      <c r="E118" s="450">
        <v>1944.1964556083869</v>
      </c>
      <c r="F118" s="450">
        <v>1970.1607729411585</v>
      </c>
      <c r="G118" s="450">
        <v>1999.8782981054317</v>
      </c>
      <c r="H118" s="451">
        <v>2514.2887059197101</v>
      </c>
      <c r="K118" s="325"/>
      <c r="L118" s="325"/>
      <c r="M118" s="325"/>
      <c r="N118" s="325"/>
      <c r="O118" s="325"/>
      <c r="P118" s="325"/>
    </row>
    <row r="119" spans="1:16" ht="15" customHeight="1" thickBot="1" x14ac:dyDescent="0.25">
      <c r="A119" s="56" t="s">
        <v>45</v>
      </c>
      <c r="B119" s="208" t="s">
        <v>108</v>
      </c>
      <c r="C119" s="452">
        <v>2948.2489844775164</v>
      </c>
      <c r="D119" s="452">
        <v>3119.5916732063451</v>
      </c>
      <c r="E119" s="452">
        <v>3274.565522232243</v>
      </c>
      <c r="F119" s="452">
        <v>3473.9884113892808</v>
      </c>
      <c r="G119" s="452">
        <v>3613.3642640099547</v>
      </c>
      <c r="H119" s="453">
        <v>4619.8715756169977</v>
      </c>
      <c r="K119" s="325"/>
      <c r="L119" s="325"/>
      <c r="M119" s="325"/>
      <c r="N119" s="325"/>
      <c r="O119" s="325"/>
      <c r="P119" s="325"/>
    </row>
    <row r="120" spans="1:16" ht="5.0999999999999996" customHeight="1" thickBot="1" x14ac:dyDescent="0.25">
      <c r="C120" s="454"/>
      <c r="D120" s="331"/>
      <c r="E120" s="331"/>
      <c r="F120" s="331"/>
      <c r="G120" s="331"/>
      <c r="H120" s="331"/>
    </row>
    <row r="121" spans="1:16" ht="15" customHeight="1" thickBot="1" x14ac:dyDescent="0.25">
      <c r="A121" s="34" t="s">
        <v>1</v>
      </c>
      <c r="B121" s="59"/>
      <c r="C121" s="455">
        <f>SUM(C114:C120)</f>
        <v>170291.6142193742</v>
      </c>
      <c r="D121" s="455">
        <f t="shared" ref="D121:H121" si="2">SUM(D114:D120)</f>
        <v>170925.57011829937</v>
      </c>
      <c r="E121" s="455">
        <f t="shared" si="2"/>
        <v>171279.21808810972</v>
      </c>
      <c r="F121" s="455">
        <f t="shared" si="2"/>
        <v>171648.57292566562</v>
      </c>
      <c r="G121" s="455">
        <f t="shared" si="2"/>
        <v>172000.87537666131</v>
      </c>
      <c r="H121" s="456">
        <f t="shared" si="2"/>
        <v>181667.22204450026</v>
      </c>
    </row>
    <row r="122" spans="1:16" x14ac:dyDescent="0.2">
      <c r="A122" s="209" t="s">
        <v>9</v>
      </c>
      <c r="B122" s="17" t="s">
        <v>35</v>
      </c>
      <c r="C122" s="13"/>
      <c r="D122" s="13"/>
      <c r="E122" s="13"/>
      <c r="F122" s="13"/>
      <c r="G122" s="13"/>
      <c r="H122" s="13"/>
    </row>
    <row r="123" spans="1:16" x14ac:dyDescent="0.2">
      <c r="A123" s="209"/>
      <c r="B123" s="15"/>
      <c r="C123" s="325"/>
      <c r="D123" s="325"/>
      <c r="E123" s="325"/>
      <c r="F123" s="325"/>
      <c r="G123" s="325"/>
      <c r="H123" s="325"/>
    </row>
    <row r="124" spans="1:16" ht="15.75" x14ac:dyDescent="0.2">
      <c r="A124" s="5" t="s">
        <v>221</v>
      </c>
      <c r="B124" s="5"/>
      <c r="C124" s="2"/>
      <c r="D124" s="2"/>
      <c r="E124" s="2"/>
      <c r="F124" s="2"/>
      <c r="G124" s="2"/>
      <c r="H124" s="2"/>
    </row>
    <row r="125" spans="1:16" ht="5.0999999999999996" customHeight="1" thickBot="1" x14ac:dyDescent="0.25">
      <c r="A125" s="5"/>
      <c r="B125" s="5"/>
      <c r="C125" s="2"/>
      <c r="D125" s="2"/>
      <c r="E125" s="2"/>
      <c r="F125" s="2"/>
      <c r="G125" s="2"/>
      <c r="H125" s="2"/>
    </row>
    <row r="126" spans="1:16" x14ac:dyDescent="0.2">
      <c r="A126" s="457" t="s">
        <v>148</v>
      </c>
      <c r="B126" s="459" t="s">
        <v>149</v>
      </c>
      <c r="C126" s="31" t="s">
        <v>3</v>
      </c>
      <c r="D126" s="31"/>
      <c r="E126" s="31"/>
      <c r="F126" s="31"/>
      <c r="G126" s="31"/>
      <c r="H126" s="30"/>
    </row>
    <row r="127" spans="1:16" x14ac:dyDescent="0.2">
      <c r="A127" s="458"/>
      <c r="B127" s="460"/>
      <c r="C127" s="32">
        <v>1</v>
      </c>
      <c r="D127" s="32">
        <v>2</v>
      </c>
      <c r="E127" s="32">
        <v>3</v>
      </c>
      <c r="F127" s="32">
        <v>4</v>
      </c>
      <c r="G127" s="32">
        <v>5</v>
      </c>
      <c r="H127" s="33">
        <v>6</v>
      </c>
    </row>
    <row r="128" spans="1:16" ht="15" customHeight="1" x14ac:dyDescent="0.2">
      <c r="A128" s="461" t="s">
        <v>103</v>
      </c>
      <c r="B128" s="329">
        <v>1</v>
      </c>
      <c r="C128" s="327">
        <v>0.90458214326002728</v>
      </c>
      <c r="D128" s="327">
        <v>0.35995638667326307</v>
      </c>
      <c r="E128" s="327">
        <v>0.57514902426058678</v>
      </c>
      <c r="F128" s="327">
        <v>0.5090013345166533</v>
      </c>
      <c r="G128" s="327">
        <v>0</v>
      </c>
      <c r="H128" s="406">
        <v>0</v>
      </c>
    </row>
    <row r="129" spans="1:9" ht="15" customHeight="1" x14ac:dyDescent="0.2">
      <c r="A129" s="462"/>
      <c r="B129" s="330">
        <v>2</v>
      </c>
      <c r="C129" s="328">
        <v>9.5417856739972773E-2</v>
      </c>
      <c r="D129" s="328">
        <v>0.64004361332673698</v>
      </c>
      <c r="E129" s="328">
        <v>0.42485097573941316</v>
      </c>
      <c r="F129" s="328">
        <v>0.4909986654833467</v>
      </c>
      <c r="G129" s="328">
        <v>1</v>
      </c>
      <c r="H129" s="407">
        <v>0</v>
      </c>
    </row>
    <row r="130" spans="1:9" ht="15" customHeight="1" thickBot="1" x14ac:dyDescent="0.25">
      <c r="A130" s="463"/>
      <c r="B130" s="408">
        <v>3</v>
      </c>
      <c r="C130" s="409">
        <v>0</v>
      </c>
      <c r="D130" s="409">
        <v>0</v>
      </c>
      <c r="E130" s="409">
        <v>0</v>
      </c>
      <c r="F130" s="409">
        <v>0</v>
      </c>
      <c r="G130" s="409">
        <v>0</v>
      </c>
      <c r="H130" s="410">
        <v>1</v>
      </c>
    </row>
    <row r="131" spans="1:9" x14ac:dyDescent="0.2">
      <c r="A131" s="209" t="s">
        <v>220</v>
      </c>
      <c r="B131" s="17"/>
    </row>
    <row r="133" spans="1:9" x14ac:dyDescent="0.2">
      <c r="D133" s="332"/>
      <c r="E133" s="332"/>
    </row>
    <row r="134" spans="1:9" x14ac:dyDescent="0.2">
      <c r="C134" s="331"/>
      <c r="D134" s="331"/>
      <c r="E134" s="331"/>
      <c r="F134" s="331"/>
      <c r="G134" s="331"/>
      <c r="H134" s="331"/>
      <c r="I134" s="331"/>
    </row>
    <row r="135" spans="1:9" x14ac:dyDescent="0.2">
      <c r="C135" s="332"/>
    </row>
    <row r="136" spans="1:9" x14ac:dyDescent="0.2">
      <c r="D136" s="333"/>
      <c r="E136" s="333"/>
    </row>
    <row r="137" spans="1:9" x14ac:dyDescent="0.2">
      <c r="D137" s="333"/>
      <c r="E137" s="333"/>
    </row>
    <row r="140" spans="1:9" x14ac:dyDescent="0.2">
      <c r="D140" s="58"/>
      <c r="E140" s="331"/>
    </row>
    <row r="141" spans="1:9" x14ac:dyDescent="0.2">
      <c r="D141" s="58"/>
      <c r="E141" s="331"/>
    </row>
    <row r="142" spans="1:9" x14ac:dyDescent="0.2">
      <c r="D142" s="58"/>
      <c r="E142" s="331"/>
    </row>
    <row r="143" spans="1:9" x14ac:dyDescent="0.2">
      <c r="D143" s="58"/>
      <c r="E143" s="331"/>
    </row>
  </sheetData>
  <mergeCells count="12">
    <mergeCell ref="A14:B14"/>
    <mergeCell ref="A30:B30"/>
    <mergeCell ref="B112:B113"/>
    <mergeCell ref="A53:A54"/>
    <mergeCell ref="A99:A100"/>
    <mergeCell ref="B99:B100"/>
    <mergeCell ref="A112:A113"/>
    <mergeCell ref="A68:A69"/>
    <mergeCell ref="A84:A85"/>
    <mergeCell ref="A126:A127"/>
    <mergeCell ref="B126:B127"/>
    <mergeCell ref="A128:A130"/>
  </mergeCells>
  <phoneticPr fontId="18" type="noConversion"/>
  <conditionalFormatting sqref="L70:L75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3" orientation="portrait" r:id="rId1"/>
  <headerFooter alignWithMargins="0">
    <oddHeader>&amp;C&amp;F-&amp;A</oddHeader>
    <oddFooter>&amp;L&amp;D&amp;RPágina &amp;P de &amp;N</oddFooter>
  </headerFooter>
  <rowBreaks count="1" manualBreakCount="1">
    <brk id="8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1:AB87"/>
  <sheetViews>
    <sheetView showGridLines="0" zoomScaleNormal="100" workbookViewId="0">
      <selection activeCell="J92" sqref="J92"/>
    </sheetView>
  </sheetViews>
  <sheetFormatPr baseColWidth="10" defaultRowHeight="12.75" x14ac:dyDescent="0.2"/>
  <cols>
    <col min="2" max="5" width="14.7109375" customWidth="1"/>
    <col min="8" max="8" width="2.85546875" customWidth="1"/>
    <col min="9" max="9" width="12.28515625" bestFit="1" customWidth="1"/>
    <col min="11" max="11" width="13.7109375" bestFit="1" customWidth="1"/>
    <col min="14" max="14" width="11.42578125" customWidth="1"/>
    <col min="15" max="15" width="2.7109375" customWidth="1"/>
    <col min="22" max="22" width="10" customWidth="1"/>
  </cols>
  <sheetData>
    <row r="1" spans="1:28" s="1" customFormat="1" x14ac:dyDescent="0.2"/>
    <row r="2" spans="1:28" s="1" customFormat="1" x14ac:dyDescent="0.2"/>
    <row r="3" spans="1:28" s="1" customFormat="1" x14ac:dyDescent="0.2"/>
    <row r="4" spans="1:28" s="1" customFormat="1" x14ac:dyDescent="0.2"/>
    <row r="5" spans="1:28" s="1" customFormat="1" x14ac:dyDescent="0.2"/>
    <row r="6" spans="1:28" s="413" customFormat="1" ht="30" customHeight="1" x14ac:dyDescent="0.2">
      <c r="A6" s="413" t="s">
        <v>219</v>
      </c>
    </row>
    <row r="7" spans="1:28" s="413" customFormat="1" ht="6.75" customHeight="1" x14ac:dyDescent="0.2"/>
    <row r="8" spans="1:28" s="5" customFormat="1" ht="16.5" customHeight="1" x14ac:dyDescent="0.2">
      <c r="A8" s="5" t="s">
        <v>136</v>
      </c>
    </row>
    <row r="9" spans="1:28" ht="5.0999999999999996" customHeight="1" thickBot="1" x14ac:dyDescent="0.25"/>
    <row r="10" spans="1:28" ht="24" customHeight="1" x14ac:dyDescent="0.2">
      <c r="A10" s="497" t="s">
        <v>102</v>
      </c>
      <c r="B10" s="183" t="s">
        <v>129</v>
      </c>
      <c r="C10" s="183"/>
      <c r="D10" s="183"/>
      <c r="E10" s="183"/>
      <c r="F10" s="183"/>
      <c r="G10" s="184"/>
      <c r="I10" s="201" t="s">
        <v>130</v>
      </c>
      <c r="J10" s="183"/>
      <c r="K10" s="183"/>
      <c r="L10" s="183"/>
      <c r="M10" s="183"/>
      <c r="N10" s="184"/>
    </row>
    <row r="11" spans="1:28" ht="24" customHeight="1" x14ac:dyDescent="0.2">
      <c r="A11" s="498"/>
      <c r="B11" s="185" t="s">
        <v>16</v>
      </c>
      <c r="C11" s="185" t="s">
        <v>17</v>
      </c>
      <c r="D11" s="185" t="s">
        <v>18</v>
      </c>
      <c r="E11" s="185" t="s">
        <v>19</v>
      </c>
      <c r="F11" s="185" t="s">
        <v>20</v>
      </c>
      <c r="G11" s="186" t="s">
        <v>21</v>
      </c>
      <c r="I11" s="202" t="s">
        <v>16</v>
      </c>
      <c r="J11" s="185" t="s">
        <v>17</v>
      </c>
      <c r="K11" s="185" t="s">
        <v>18</v>
      </c>
      <c r="L11" s="185" t="s">
        <v>19</v>
      </c>
      <c r="M11" s="185" t="s">
        <v>20</v>
      </c>
      <c r="N11" s="186" t="s">
        <v>21</v>
      </c>
    </row>
    <row r="12" spans="1:28" ht="18" customHeight="1" x14ac:dyDescent="0.2">
      <c r="A12" s="246" t="s">
        <v>103</v>
      </c>
      <c r="B12" s="247">
        <f>'VI. Diseño del Peaje 2.0 TD'!B73</f>
        <v>24.31488754606449</v>
      </c>
      <c r="C12" s="247">
        <f>'VI. Diseño del Peaje 2.0 TD'!C73</f>
        <v>0.78295906803545079</v>
      </c>
      <c r="D12" s="564"/>
      <c r="E12" s="564"/>
      <c r="F12" s="564"/>
      <c r="G12" s="565"/>
      <c r="H12" s="1"/>
      <c r="I12" s="440">
        <f>'VI. Diseño del Peaje 2.0 TD'!D73</f>
        <v>2.9425457598045407E-2</v>
      </c>
      <c r="J12" s="441">
        <f>'VI. Diseño del Peaje 2.0 TD'!E73</f>
        <v>2.0549285748154639E-2</v>
      </c>
      <c r="K12" s="441">
        <f>'VI. Diseño del Peaje 2.0 TD'!F73</f>
        <v>2.6027227301442121E-4</v>
      </c>
      <c r="L12" s="566"/>
      <c r="M12" s="566"/>
      <c r="N12" s="567"/>
      <c r="P12" s="321"/>
      <c r="Q12" s="48"/>
      <c r="R12" s="48"/>
      <c r="S12" s="48"/>
      <c r="T12" s="48"/>
      <c r="U12" s="48"/>
      <c r="V12" s="48"/>
      <c r="W12" s="321"/>
      <c r="X12" s="321"/>
      <c r="Y12" s="321"/>
      <c r="Z12" s="321"/>
      <c r="AA12" s="321"/>
      <c r="AB12" s="321"/>
    </row>
    <row r="13" spans="1:28" ht="18" customHeight="1" x14ac:dyDescent="0.2">
      <c r="A13" s="249" t="s">
        <v>104</v>
      </c>
      <c r="B13" s="250">
        <f>'Va. Peajes transporte'!B80+'Vb. Peajes distribución'!B80</f>
        <v>10.19189628193997</v>
      </c>
      <c r="C13" s="250">
        <f>'Va. Peajes transporte'!C80+'Vb. Peajes distribución'!C80</f>
        <v>9.4086250009978318</v>
      </c>
      <c r="D13" s="250">
        <f>'Va. Peajes transporte'!D80+'Vb. Peajes distribución'!D80</f>
        <v>4.7848532207734582</v>
      </c>
      <c r="E13" s="250">
        <f>'Va. Peajes transporte'!E80+'Vb. Peajes distribución'!E80</f>
        <v>3.648543994277933</v>
      </c>
      <c r="F13" s="250">
        <f>'Va. Peajes transporte'!F80+'Vb. Peajes distribución'!F80</f>
        <v>0.94498130609427822</v>
      </c>
      <c r="G13" s="251">
        <f>'Va. Peajes transporte'!G80+'Vb. Peajes distribución'!G80</f>
        <v>0.94498130609427822</v>
      </c>
      <c r="H13" s="1"/>
      <c r="I13" s="442">
        <f>'Va. Peajes transporte'!I80+'Vb. Peajes distribución'!I80</f>
        <v>1.7118975753995548E-2</v>
      </c>
      <c r="J13" s="443">
        <f>'Va. Peajes transporte'!J80+'Vb. Peajes distribución'!J80</f>
        <v>1.3145798284463796E-2</v>
      </c>
      <c r="K13" s="443">
        <f>'Va. Peajes transporte'!K80+'Vb. Peajes distribución'!K80</f>
        <v>1.0441211937373629E-2</v>
      </c>
      <c r="L13" s="443">
        <f>'Va. Peajes transporte'!L80+'Vb. Peajes distribución'!L80</f>
        <v>6.3756267219659234E-3</v>
      </c>
      <c r="M13" s="443">
        <f>'Va. Peajes transporte'!M80+'Vb. Peajes distribución'!M80</f>
        <v>5.1030072108868203E-4</v>
      </c>
      <c r="N13" s="444">
        <f>'Va. Peajes transporte'!N80+'Vb. Peajes distribución'!N80</f>
        <v>1.1363070546456657E-4</v>
      </c>
      <c r="P13" s="321"/>
      <c r="Q13" s="48"/>
      <c r="R13" s="48"/>
      <c r="S13" s="48"/>
      <c r="T13" s="48"/>
      <c r="U13" s="48"/>
      <c r="V13" s="48"/>
      <c r="W13" s="321"/>
      <c r="X13" s="321"/>
      <c r="Y13" s="321"/>
      <c r="Z13" s="321"/>
      <c r="AA13" s="321"/>
      <c r="AB13" s="321"/>
    </row>
    <row r="14" spans="1:28" ht="18" customHeight="1" x14ac:dyDescent="0.2">
      <c r="A14" s="249" t="s">
        <v>105</v>
      </c>
      <c r="B14" s="250">
        <f>'Va. Peajes transporte'!B81+'Vb. Peajes distribución'!B81</f>
        <v>16.47814851702072</v>
      </c>
      <c r="C14" s="250">
        <f>'Va. Peajes transporte'!C81+'Vb. Peajes distribución'!C81</f>
        <v>15.533705768926701</v>
      </c>
      <c r="D14" s="250">
        <f>'Va. Peajes transporte'!D81+'Vb. Peajes distribución'!D81</f>
        <v>12.638379682434307</v>
      </c>
      <c r="E14" s="250">
        <f>'Va. Peajes transporte'!E81+'Vb. Peajes distribución'!E81</f>
        <v>8.7581214509795764</v>
      </c>
      <c r="F14" s="250">
        <f>'Va. Peajes transporte'!F81+'Vb. Peajes distribución'!F81</f>
        <v>0.34532235853881921</v>
      </c>
      <c r="G14" s="251">
        <f>'Va. Peajes transporte'!G81+'Vb. Peajes distribución'!G81</f>
        <v>0.34532235853881921</v>
      </c>
      <c r="H14" s="1"/>
      <c r="I14" s="442">
        <f>'Va. Peajes transporte'!I81+'Vb. Peajes distribución'!I81</f>
        <v>1.7079979148244422E-2</v>
      </c>
      <c r="J14" s="443">
        <f>'Va. Peajes transporte'!J81+'Vb. Peajes distribución'!J81</f>
        <v>1.3164115463705533E-2</v>
      </c>
      <c r="K14" s="443">
        <f>'Va. Peajes transporte'!K81+'Vb. Peajes distribución'!K81</f>
        <v>9.4315558799603107E-3</v>
      </c>
      <c r="L14" s="443">
        <f>'Va. Peajes transporte'!L81+'Vb. Peajes distribución'!L81</f>
        <v>5.8777303859511689E-3</v>
      </c>
      <c r="M14" s="443">
        <f>'Va. Peajes transporte'!M81+'Vb. Peajes distribución'!M81</f>
        <v>4.7950498142464404E-4</v>
      </c>
      <c r="N14" s="444">
        <f>'Va. Peajes transporte'!N81+'Vb. Peajes distribución'!N81</f>
        <v>1.084594648965102E-4</v>
      </c>
      <c r="P14" s="321"/>
      <c r="Q14" s="48"/>
      <c r="R14" s="48"/>
      <c r="S14" s="48"/>
      <c r="T14" s="48"/>
      <c r="U14" s="48"/>
      <c r="V14" s="48"/>
      <c r="W14" s="321"/>
      <c r="X14" s="321"/>
      <c r="Y14" s="321"/>
      <c r="Z14" s="321"/>
      <c r="AA14" s="321"/>
      <c r="AB14" s="321"/>
    </row>
    <row r="15" spans="1:28" ht="18" customHeight="1" x14ac:dyDescent="0.2">
      <c r="A15" s="249" t="s">
        <v>106</v>
      </c>
      <c r="B15" s="250">
        <f>'Va. Peajes transporte'!B82+'Vb. Peajes distribución'!B82</f>
        <v>11.444459179839155</v>
      </c>
      <c r="C15" s="250">
        <f>'Va. Peajes transporte'!C82+'Vb. Peajes distribución'!C82</f>
        <v>10.848032043216831</v>
      </c>
      <c r="D15" s="250">
        <f>'Va. Peajes transporte'!D82+'Vb. Peajes distribución'!D82</f>
        <v>7.9022628996930768</v>
      </c>
      <c r="E15" s="250">
        <f>'Va. Peajes transporte'!E82+'Vb. Peajes distribución'!E82</f>
        <v>4.9028929651877391</v>
      </c>
      <c r="F15" s="250">
        <f>'Va. Peajes transporte'!F82+'Vb. Peajes distribución'!F82</f>
        <v>0.19751088931875682</v>
      </c>
      <c r="G15" s="251">
        <f>'Va. Peajes transporte'!G82+'Vb. Peajes distribución'!G82</f>
        <v>0.19751088931875682</v>
      </c>
      <c r="H15" s="1"/>
      <c r="I15" s="442">
        <f>'Va. Peajes transporte'!I82+'Vb. Peajes distribución'!I82</f>
        <v>9.272946323958196E-3</v>
      </c>
      <c r="J15" s="443">
        <f>'Va. Peajes transporte'!J82+'Vb. Peajes distribución'!J82</f>
        <v>7.0093084132124197E-3</v>
      </c>
      <c r="K15" s="443">
        <f>'Va. Peajes transporte'!K82+'Vb. Peajes distribución'!K82</f>
        <v>5.5155357814826072E-3</v>
      </c>
      <c r="L15" s="443">
        <f>'Va. Peajes transporte'!L82+'Vb. Peajes distribución'!L82</f>
        <v>3.0528944640189591E-3</v>
      </c>
      <c r="M15" s="443">
        <f>'Va. Peajes transporte'!M82+'Vb. Peajes distribución'!M82</f>
        <v>1.4918440457636369E-4</v>
      </c>
      <c r="N15" s="444">
        <f>'Va. Peajes transporte'!N82+'Vb. Peajes distribución'!N82</f>
        <v>5.0052261877290674E-5</v>
      </c>
      <c r="P15" s="321"/>
      <c r="Q15" s="48"/>
      <c r="R15" s="48"/>
      <c r="S15" s="48"/>
      <c r="T15" s="48"/>
      <c r="U15" s="48"/>
      <c r="V15" s="48"/>
      <c r="W15" s="321"/>
      <c r="X15" s="321"/>
      <c r="Y15" s="321"/>
      <c r="Z15" s="321"/>
      <c r="AA15" s="321"/>
      <c r="AB15" s="321"/>
    </row>
    <row r="16" spans="1:28" ht="18" customHeight="1" x14ac:dyDescent="0.2">
      <c r="A16" s="249" t="s">
        <v>107</v>
      </c>
      <c r="B16" s="250">
        <f>'Va. Peajes transporte'!B83+'Vb. Peajes distribución'!B83</f>
        <v>9.5531622075746547</v>
      </c>
      <c r="C16" s="250">
        <f>'Va. Peajes transporte'!C83+'Vb. Peajes distribución'!C83</f>
        <v>9.1979224304842653</v>
      </c>
      <c r="D16" s="250">
        <f>'Va. Peajes transporte'!D83+'Vb. Peajes distribución'!D83</f>
        <v>8.2335388008147916</v>
      </c>
      <c r="E16" s="250">
        <f>'Va. Peajes transporte'!E83+'Vb. Peajes distribución'!E83</f>
        <v>4.876322094456075</v>
      </c>
      <c r="F16" s="250">
        <f>'Va. Peajes transporte'!F83+'Vb. Peajes distribución'!F83</f>
        <v>0.25652591493328103</v>
      </c>
      <c r="G16" s="251">
        <f>'Va. Peajes transporte'!G83+'Vb. Peajes distribución'!G83</f>
        <v>0.25652591493328103</v>
      </c>
      <c r="H16" s="1"/>
      <c r="I16" s="442">
        <f>'Va. Peajes transporte'!I83+'Vb. Peajes distribución'!I83</f>
        <v>8.5030241472669327E-3</v>
      </c>
      <c r="J16" s="443">
        <f>'Va. Peajes transporte'!J83+'Vb. Peajes distribución'!J83</f>
        <v>6.377776439279244E-3</v>
      </c>
      <c r="K16" s="443">
        <f>'Va. Peajes transporte'!K83+'Vb. Peajes distribución'!K83</f>
        <v>5.4045708127945513E-3</v>
      </c>
      <c r="L16" s="443">
        <f>'Va. Peajes transporte'!L83+'Vb. Peajes distribución'!L83</f>
        <v>3.1279528989207614E-3</v>
      </c>
      <c r="M16" s="443">
        <f>'Va. Peajes transporte'!M83+'Vb. Peajes distribución'!M83</f>
        <v>1.758711858459277E-4</v>
      </c>
      <c r="N16" s="444">
        <f>'Va. Peajes transporte'!N83+'Vb. Peajes distribución'!N83</f>
        <v>7.7622437260260562E-5</v>
      </c>
      <c r="P16" s="321"/>
      <c r="Q16" s="48"/>
      <c r="R16" s="48"/>
      <c r="S16" s="48"/>
      <c r="T16" s="48"/>
      <c r="U16" s="48"/>
      <c r="V16" s="48"/>
      <c r="W16" s="321"/>
      <c r="X16" s="321"/>
      <c r="Y16" s="321"/>
      <c r="Z16" s="321"/>
      <c r="AA16" s="321"/>
      <c r="AB16" s="321"/>
    </row>
    <row r="17" spans="1:28" ht="18" customHeight="1" thickBot="1" x14ac:dyDescent="0.25">
      <c r="A17" s="252" t="s">
        <v>108</v>
      </c>
      <c r="B17" s="253">
        <f>'Va. Peajes transporte'!B84+'Vb. Peajes distribución'!B84</f>
        <v>11.47003663352017</v>
      </c>
      <c r="C17" s="253">
        <f>'Va. Peajes transporte'!C84+'Vb. Peajes distribución'!C84</f>
        <v>11.47003663352017</v>
      </c>
      <c r="D17" s="253">
        <f>'Va. Peajes transporte'!D84+'Vb. Peajes distribución'!D84</f>
        <v>5.587539428823753</v>
      </c>
      <c r="E17" s="253">
        <f>'Va. Peajes transporte'!E84+'Vb. Peajes distribución'!E84</f>
        <v>4.2737581588803826</v>
      </c>
      <c r="F17" s="253">
        <f>'Va. Peajes transporte'!F84+'Vb. Peajes distribución'!F84</f>
        <v>0.23427395164323492</v>
      </c>
      <c r="G17" s="254">
        <f>'Va. Peajes transporte'!G84+'Vb. Peajes distribución'!G84</f>
        <v>0.23427395164323492</v>
      </c>
      <c r="H17" s="1"/>
      <c r="I17" s="445">
        <f>'Va. Peajes transporte'!I84+'Vb. Peajes distribución'!I84</f>
        <v>7.249387528514231E-3</v>
      </c>
      <c r="J17" s="446">
        <f>'Va. Peajes transporte'!J84+'Vb. Peajes distribución'!J84</f>
        <v>5.5543888240054502E-3</v>
      </c>
      <c r="K17" s="446">
        <f>'Va. Peajes transporte'!K84+'Vb. Peajes distribución'!K84</f>
        <v>4.7866145082350268E-3</v>
      </c>
      <c r="L17" s="446">
        <f>'Va. Peajes transporte'!L84+'Vb. Peajes distribución'!L84</f>
        <v>2.6303147757790212E-3</v>
      </c>
      <c r="M17" s="446">
        <f>'Va. Peajes transporte'!M84+'Vb. Peajes distribución'!M84</f>
        <v>8.4822097267773014E-5</v>
      </c>
      <c r="N17" s="447">
        <f>'Va. Peajes transporte'!N84+'Vb. Peajes distribución'!N84</f>
        <v>5.1437847843163659E-5</v>
      </c>
      <c r="P17" s="321"/>
      <c r="Q17" s="48"/>
      <c r="R17" s="48"/>
      <c r="S17" s="48"/>
      <c r="T17" s="48"/>
      <c r="U17" s="48"/>
      <c r="V17" s="48"/>
      <c r="W17" s="321"/>
      <c r="X17" s="321"/>
      <c r="Y17" s="321"/>
      <c r="Z17" s="321"/>
      <c r="AA17" s="321"/>
      <c r="AB17" s="321"/>
    </row>
    <row r="18" spans="1:28" x14ac:dyDescent="0.2">
      <c r="B18" s="321"/>
      <c r="C18" s="321"/>
      <c r="D18" s="318"/>
      <c r="E18" s="318"/>
    </row>
    <row r="19" spans="1:28" s="5" customFormat="1" ht="16.5" customHeight="1" x14ac:dyDescent="0.2">
      <c r="A19" s="5" t="s">
        <v>208</v>
      </c>
    </row>
    <row r="20" spans="1:28" ht="5.0999999999999996" customHeight="1" thickBot="1" x14ac:dyDescent="0.25">
      <c r="A20" s="213"/>
      <c r="B20" s="215"/>
      <c r="C20" s="48"/>
    </row>
    <row r="21" spans="1:28" ht="24" customHeight="1" x14ac:dyDescent="0.2">
      <c r="A21" s="497" t="s">
        <v>58</v>
      </c>
      <c r="B21" s="183" t="s">
        <v>100</v>
      </c>
      <c r="C21" s="183"/>
      <c r="D21" s="183"/>
      <c r="E21" s="183"/>
      <c r="F21" s="183"/>
      <c r="G21" s="184"/>
      <c r="I21" s="201" t="s">
        <v>101</v>
      </c>
      <c r="J21" s="183"/>
      <c r="K21" s="183"/>
      <c r="L21" s="183"/>
      <c r="M21" s="183"/>
      <c r="N21" s="184"/>
    </row>
    <row r="22" spans="1:28" ht="24" customHeight="1" x14ac:dyDescent="0.2">
      <c r="A22" s="498"/>
      <c r="B22" s="185" t="s">
        <v>16</v>
      </c>
      <c r="C22" s="185" t="s">
        <v>17</v>
      </c>
      <c r="D22" s="185" t="s">
        <v>18</v>
      </c>
      <c r="E22" s="185" t="s">
        <v>19</v>
      </c>
      <c r="F22" s="185" t="s">
        <v>20</v>
      </c>
      <c r="G22" s="186" t="s">
        <v>21</v>
      </c>
      <c r="I22" s="202" t="s">
        <v>16</v>
      </c>
      <c r="J22" s="185" t="s">
        <v>17</v>
      </c>
      <c r="K22" s="185" t="s">
        <v>18</v>
      </c>
      <c r="L22" s="185" t="s">
        <v>19</v>
      </c>
      <c r="M22" s="185" t="s">
        <v>20</v>
      </c>
      <c r="N22" s="186" t="s">
        <v>21</v>
      </c>
    </row>
    <row r="23" spans="1:28" ht="15" customHeight="1" x14ac:dyDescent="0.2">
      <c r="A23" s="189" t="s">
        <v>11</v>
      </c>
      <c r="B23" s="216">
        <f t="shared" ref="B23:G27" si="0">B13/$G13</f>
        <v>10.78528878424517</v>
      </c>
      <c r="C23" s="216">
        <f t="shared" si="0"/>
        <v>9.9564138891644482</v>
      </c>
      <c r="D23" s="216">
        <f t="shared" si="0"/>
        <v>5.0634369060165154</v>
      </c>
      <c r="E23" s="216">
        <f t="shared" si="0"/>
        <v>3.8609694929922007</v>
      </c>
      <c r="F23" s="216">
        <f t="shared" si="0"/>
        <v>1</v>
      </c>
      <c r="G23" s="219">
        <f t="shared" si="0"/>
        <v>1</v>
      </c>
      <c r="I23" s="218">
        <f t="shared" ref="I23:N27" si="1">I13/$N13</f>
        <v>150.65448801014225</v>
      </c>
      <c r="J23" s="216">
        <f t="shared" si="1"/>
        <v>115.68878526907541</v>
      </c>
      <c r="K23" s="216">
        <f t="shared" si="1"/>
        <v>91.887240290253317</v>
      </c>
      <c r="L23" s="216">
        <f t="shared" si="1"/>
        <v>56.108308893268578</v>
      </c>
      <c r="M23" s="216">
        <f t="shared" si="1"/>
        <v>4.4908699545811492</v>
      </c>
      <c r="N23" s="219">
        <f t="shared" si="1"/>
        <v>1</v>
      </c>
    </row>
    <row r="24" spans="1:28" ht="15" customHeight="1" x14ac:dyDescent="0.2">
      <c r="A24" s="192" t="s">
        <v>12</v>
      </c>
      <c r="B24" s="217">
        <f t="shared" si="0"/>
        <v>47.718162782003411</v>
      </c>
      <c r="C24" s="217">
        <f t="shared" si="0"/>
        <v>44.983203041515452</v>
      </c>
      <c r="D24" s="217">
        <f t="shared" si="0"/>
        <v>36.598787683229524</v>
      </c>
      <c r="E24" s="217">
        <f t="shared" si="0"/>
        <v>25.36216156995533</v>
      </c>
      <c r="F24" s="217">
        <f t="shared" si="0"/>
        <v>1</v>
      </c>
      <c r="G24" s="221">
        <f t="shared" si="0"/>
        <v>1</v>
      </c>
      <c r="I24" s="220">
        <f t="shared" si="1"/>
        <v>157.47799571518988</v>
      </c>
      <c r="J24" s="217">
        <f t="shared" si="1"/>
        <v>121.37359774240507</v>
      </c>
      <c r="K24" s="217">
        <f t="shared" si="1"/>
        <v>86.959269889075216</v>
      </c>
      <c r="L24" s="217">
        <f t="shared" si="1"/>
        <v>54.192876495929411</v>
      </c>
      <c r="M24" s="217">
        <f t="shared" si="1"/>
        <v>4.4210524354161054</v>
      </c>
      <c r="N24" s="221">
        <f t="shared" si="1"/>
        <v>1</v>
      </c>
    </row>
    <row r="25" spans="1:28" ht="15" customHeight="1" x14ac:dyDescent="0.2">
      <c r="A25" s="192" t="s">
        <v>13</v>
      </c>
      <c r="B25" s="217">
        <f t="shared" si="0"/>
        <v>57.943434001602263</v>
      </c>
      <c r="C25" s="217">
        <f t="shared" si="0"/>
        <v>54.923716260066662</v>
      </c>
      <c r="D25" s="217">
        <f t="shared" si="0"/>
        <v>40.00925177821388</v>
      </c>
      <c r="E25" s="217">
        <f t="shared" si="0"/>
        <v>24.823405849158572</v>
      </c>
      <c r="F25" s="217">
        <f t="shared" si="0"/>
        <v>1</v>
      </c>
      <c r="G25" s="221">
        <f t="shared" si="0"/>
        <v>1</v>
      </c>
      <c r="I25" s="220">
        <f t="shared" si="1"/>
        <v>185.26528025230854</v>
      </c>
      <c r="J25" s="217">
        <f t="shared" si="1"/>
        <v>140.03979341426384</v>
      </c>
      <c r="K25" s="217">
        <f t="shared" si="1"/>
        <v>110.1955351189648</v>
      </c>
      <c r="L25" s="217">
        <f t="shared" si="1"/>
        <v>60.994135919441732</v>
      </c>
      <c r="M25" s="217">
        <f t="shared" si="1"/>
        <v>2.9805726850488345</v>
      </c>
      <c r="N25" s="221">
        <f t="shared" si="1"/>
        <v>1</v>
      </c>
    </row>
    <row r="26" spans="1:28" ht="15" customHeight="1" x14ac:dyDescent="0.2">
      <c r="A26" s="192" t="s">
        <v>14</v>
      </c>
      <c r="B26" s="217">
        <f t="shared" si="0"/>
        <v>37.240534587155864</v>
      </c>
      <c r="C26" s="217">
        <f t="shared" si="0"/>
        <v>35.855724100531994</v>
      </c>
      <c r="D26" s="217">
        <f t="shared" si="0"/>
        <v>32.096323690946491</v>
      </c>
      <c r="E26" s="217">
        <f t="shared" si="0"/>
        <v>19.009081775322159</v>
      </c>
      <c r="F26" s="217">
        <f t="shared" si="0"/>
        <v>1</v>
      </c>
      <c r="G26" s="221">
        <f t="shared" si="0"/>
        <v>1</v>
      </c>
      <c r="I26" s="220">
        <f t="shared" si="1"/>
        <v>109.54338007652493</v>
      </c>
      <c r="J26" s="217">
        <f t="shared" si="1"/>
        <v>82.164083793132818</v>
      </c>
      <c r="K26" s="217">
        <f t="shared" si="1"/>
        <v>69.626399318969405</v>
      </c>
      <c r="L26" s="217">
        <f t="shared" si="1"/>
        <v>40.297019899452991</v>
      </c>
      <c r="M26" s="217">
        <f t="shared" si="1"/>
        <v>2.2657261489516047</v>
      </c>
      <c r="N26" s="221">
        <f t="shared" si="1"/>
        <v>1</v>
      </c>
    </row>
    <row r="27" spans="1:28" ht="15" customHeight="1" thickBot="1" x14ac:dyDescent="0.25">
      <c r="A27" s="195" t="s">
        <v>15</v>
      </c>
      <c r="B27" s="223">
        <f t="shared" si="0"/>
        <v>48.959931537704044</v>
      </c>
      <c r="C27" s="223">
        <f t="shared" si="0"/>
        <v>48.959931537704044</v>
      </c>
      <c r="D27" s="223">
        <f t="shared" si="0"/>
        <v>23.85045110492165</v>
      </c>
      <c r="E27" s="223">
        <f t="shared" si="0"/>
        <v>18.242566571757383</v>
      </c>
      <c r="F27" s="223">
        <f t="shared" si="0"/>
        <v>1</v>
      </c>
      <c r="G27" s="224">
        <f t="shared" si="0"/>
        <v>1</v>
      </c>
      <c r="I27" s="222">
        <f t="shared" si="1"/>
        <v>140.9348919616144</v>
      </c>
      <c r="J27" s="223">
        <f t="shared" si="1"/>
        <v>107.98252759215421</v>
      </c>
      <c r="K27" s="223">
        <f t="shared" si="1"/>
        <v>93.056274882060237</v>
      </c>
      <c r="L27" s="223">
        <f t="shared" si="1"/>
        <v>51.135785925549818</v>
      </c>
      <c r="M27" s="223">
        <f t="shared" si="1"/>
        <v>1.649021116248865</v>
      </c>
      <c r="N27" s="224">
        <f t="shared" si="1"/>
        <v>1</v>
      </c>
    </row>
    <row r="49" spans="1:14" s="5" customFormat="1" ht="16.5" customHeight="1" x14ac:dyDescent="0.2">
      <c r="A49" s="5" t="s">
        <v>119</v>
      </c>
    </row>
    <row r="50" spans="1:14" ht="5.0999999999999996" customHeight="1" thickBot="1" x14ac:dyDescent="0.25">
      <c r="A50" s="213"/>
      <c r="B50" s="215"/>
      <c r="C50" s="48"/>
    </row>
    <row r="51" spans="1:14" ht="18" customHeight="1" x14ac:dyDescent="0.2">
      <c r="A51" s="497" t="s">
        <v>58</v>
      </c>
      <c r="B51" s="183" t="s">
        <v>100</v>
      </c>
      <c r="C51" s="183"/>
      <c r="D51" s="183"/>
      <c r="E51" s="183"/>
      <c r="F51" s="183"/>
      <c r="G51" s="184"/>
      <c r="I51" s="201" t="s">
        <v>101</v>
      </c>
      <c r="J51" s="183"/>
      <c r="K51" s="183"/>
      <c r="L51" s="183"/>
      <c r="M51" s="183"/>
      <c r="N51" s="184"/>
    </row>
    <row r="52" spans="1:14" ht="18" customHeight="1" x14ac:dyDescent="0.2">
      <c r="A52" s="498"/>
      <c r="B52" s="185" t="s">
        <v>16</v>
      </c>
      <c r="C52" s="185" t="s">
        <v>17</v>
      </c>
      <c r="D52" s="185" t="s">
        <v>18</v>
      </c>
      <c r="E52" s="185" t="s">
        <v>19</v>
      </c>
      <c r="F52" s="185" t="s">
        <v>20</v>
      </c>
      <c r="G52" s="186" t="s">
        <v>21</v>
      </c>
      <c r="I52" s="202" t="s">
        <v>16</v>
      </c>
      <c r="J52" s="185" t="s">
        <v>17</v>
      </c>
      <c r="K52" s="185" t="s">
        <v>18</v>
      </c>
      <c r="L52" s="185" t="s">
        <v>19</v>
      </c>
      <c r="M52" s="185" t="s">
        <v>20</v>
      </c>
      <c r="N52" s="186" t="s">
        <v>21</v>
      </c>
    </row>
    <row r="53" spans="1:14" ht="18" customHeight="1" x14ac:dyDescent="0.2">
      <c r="A53" s="189" t="s">
        <v>11</v>
      </c>
      <c r="B53" s="216">
        <f t="shared" ref="B53:G57" si="2">B13/B$17</f>
        <v>0.88856702097664209</v>
      </c>
      <c r="C53" s="216">
        <f t="shared" si="2"/>
        <v>0.8202785485010532</v>
      </c>
      <c r="D53" s="216">
        <f t="shared" si="2"/>
        <v>0.85634352682871895</v>
      </c>
      <c r="E53" s="216">
        <f t="shared" si="2"/>
        <v>0.85370857653624466</v>
      </c>
      <c r="F53" s="216">
        <f t="shared" si="2"/>
        <v>4.033659309820953</v>
      </c>
      <c r="G53" s="219">
        <f t="shared" si="2"/>
        <v>4.033659309820953</v>
      </c>
      <c r="I53" s="218">
        <f t="shared" ref="I53:N57" si="3">I13/I$17</f>
        <v>2.3614375265028906</v>
      </c>
      <c r="J53" s="216">
        <f t="shared" si="3"/>
        <v>2.3667407343989169</v>
      </c>
      <c r="K53" s="216">
        <f t="shared" si="3"/>
        <v>2.1813354552388278</v>
      </c>
      <c r="L53" s="216">
        <f t="shared" si="3"/>
        <v>2.4239025612733562</v>
      </c>
      <c r="M53" s="216">
        <f t="shared" si="3"/>
        <v>6.0161294936828185</v>
      </c>
      <c r="N53" s="219">
        <f t="shared" si="3"/>
        <v>2.2090874760357737</v>
      </c>
    </row>
    <row r="54" spans="1:14" ht="18" customHeight="1" x14ac:dyDescent="0.2">
      <c r="A54" s="192" t="s">
        <v>12</v>
      </c>
      <c r="B54" s="217">
        <f t="shared" si="2"/>
        <v>1.4366256223510905</v>
      </c>
      <c r="C54" s="217">
        <f t="shared" si="2"/>
        <v>1.3542856283066103</v>
      </c>
      <c r="D54" s="217">
        <f t="shared" si="2"/>
        <v>2.2618864427583723</v>
      </c>
      <c r="E54" s="217">
        <f t="shared" si="2"/>
        <v>2.049278673567712</v>
      </c>
      <c r="F54" s="217">
        <f t="shared" si="2"/>
        <v>1.4740109009843947</v>
      </c>
      <c r="G54" s="221">
        <f t="shared" si="2"/>
        <v>1.4740109009843947</v>
      </c>
      <c r="I54" s="220">
        <f t="shared" si="3"/>
        <v>2.356058229893661</v>
      </c>
      <c r="J54" s="217">
        <f t="shared" si="3"/>
        <v>2.3700385192357603</v>
      </c>
      <c r="K54" s="217">
        <f t="shared" si="3"/>
        <v>1.9704022255675688</v>
      </c>
      <c r="L54" s="217">
        <f t="shared" si="3"/>
        <v>2.2346110207324368</v>
      </c>
      <c r="M54" s="217">
        <f t="shared" si="3"/>
        <v>5.6530667935609431</v>
      </c>
      <c r="N54" s="221">
        <f t="shared" si="3"/>
        <v>2.1085537098520928</v>
      </c>
    </row>
    <row r="55" spans="1:14" ht="18" customHeight="1" x14ac:dyDescent="0.2">
      <c r="A55" s="192" t="s">
        <v>13</v>
      </c>
      <c r="B55" s="217">
        <f t="shared" si="2"/>
        <v>0.99777006347074193</v>
      </c>
      <c r="C55" s="217">
        <f t="shared" si="2"/>
        <v>0.94577135102728571</v>
      </c>
      <c r="D55" s="217">
        <f t="shared" si="2"/>
        <v>1.4142652593964069</v>
      </c>
      <c r="E55" s="217">
        <f t="shared" si="2"/>
        <v>1.1472087991221698</v>
      </c>
      <c r="F55" s="217">
        <f t="shared" si="2"/>
        <v>0.84307661151990609</v>
      </c>
      <c r="G55" s="221">
        <f t="shared" si="2"/>
        <v>0.84307661151990609</v>
      </c>
      <c r="I55" s="220">
        <f t="shared" si="3"/>
        <v>1.279135139001004</v>
      </c>
      <c r="J55" s="217">
        <f t="shared" si="3"/>
        <v>1.2619405366291552</v>
      </c>
      <c r="K55" s="217">
        <f t="shared" si="3"/>
        <v>1.1522832624172104</v>
      </c>
      <c r="L55" s="217">
        <f t="shared" si="3"/>
        <v>1.1606574589973864</v>
      </c>
      <c r="M55" s="217">
        <f t="shared" si="3"/>
        <v>1.7587917462758169</v>
      </c>
      <c r="N55" s="221">
        <f t="shared" si="3"/>
        <v>0.97306290943396967</v>
      </c>
    </row>
    <row r="56" spans="1:14" ht="18" customHeight="1" x14ac:dyDescent="0.2">
      <c r="A56" s="192" t="s">
        <v>14</v>
      </c>
      <c r="B56" s="217">
        <f t="shared" si="2"/>
        <v>0.83287983402392818</v>
      </c>
      <c r="C56" s="217">
        <f t="shared" si="2"/>
        <v>0.80190872308150685</v>
      </c>
      <c r="D56" s="217">
        <f t="shared" si="2"/>
        <v>1.4735535929002035</v>
      </c>
      <c r="E56" s="217">
        <f t="shared" si="2"/>
        <v>1.140991584730557</v>
      </c>
      <c r="F56" s="217">
        <f t="shared" si="2"/>
        <v>1.0949826608292015</v>
      </c>
      <c r="G56" s="221">
        <f t="shared" si="2"/>
        <v>1.0949826608292015</v>
      </c>
      <c r="I56" s="220">
        <f t="shared" si="3"/>
        <v>1.1729300046137325</v>
      </c>
      <c r="J56" s="217">
        <f t="shared" si="3"/>
        <v>1.1482409030702359</v>
      </c>
      <c r="K56" s="217">
        <f t="shared" si="3"/>
        <v>1.1291009132856584</v>
      </c>
      <c r="L56" s="217">
        <f t="shared" si="3"/>
        <v>1.1891933724906953</v>
      </c>
      <c r="M56" s="217">
        <f t="shared" si="3"/>
        <v>2.0734123714333994</v>
      </c>
      <c r="N56" s="221">
        <f t="shared" si="3"/>
        <v>1.5090529739295258</v>
      </c>
    </row>
    <row r="57" spans="1:14" ht="18" customHeight="1" thickBot="1" x14ac:dyDescent="0.25">
      <c r="A57" s="299" t="s">
        <v>15</v>
      </c>
      <c r="B57" s="311">
        <f t="shared" si="2"/>
        <v>1</v>
      </c>
      <c r="C57" s="311">
        <f t="shared" si="2"/>
        <v>1</v>
      </c>
      <c r="D57" s="311">
        <f t="shared" si="2"/>
        <v>1</v>
      </c>
      <c r="E57" s="311">
        <f t="shared" si="2"/>
        <v>1</v>
      </c>
      <c r="F57" s="311">
        <f t="shared" si="2"/>
        <v>1</v>
      </c>
      <c r="G57" s="312">
        <f t="shared" si="2"/>
        <v>1</v>
      </c>
      <c r="I57" s="313">
        <f t="shared" si="3"/>
        <v>1</v>
      </c>
      <c r="J57" s="311">
        <f t="shared" si="3"/>
        <v>1</v>
      </c>
      <c r="K57" s="311">
        <f t="shared" si="3"/>
        <v>1</v>
      </c>
      <c r="L57" s="311">
        <f t="shared" si="3"/>
        <v>1</v>
      </c>
      <c r="M57" s="311">
        <f t="shared" si="3"/>
        <v>1</v>
      </c>
      <c r="N57" s="312">
        <f t="shared" si="3"/>
        <v>1</v>
      </c>
    </row>
    <row r="59" spans="1:14" s="5" customFormat="1" ht="16.5" customHeight="1" x14ac:dyDescent="0.2">
      <c r="A59" s="5" t="s">
        <v>141</v>
      </c>
    </row>
    <row r="61" spans="1:14" s="437" customFormat="1" ht="16.5" customHeight="1" x14ac:dyDescent="0.2">
      <c r="A61" s="437" t="s">
        <v>142</v>
      </c>
    </row>
    <row r="62" spans="1:14" ht="5.25" customHeight="1" thickBot="1" x14ac:dyDescent="0.25"/>
    <row r="63" spans="1:14" ht="22.5" customHeight="1" x14ac:dyDescent="0.2">
      <c r="A63" s="497" t="s">
        <v>102</v>
      </c>
      <c r="B63" s="183" t="s">
        <v>137</v>
      </c>
      <c r="C63" s="183"/>
      <c r="D63" s="183"/>
      <c r="E63" s="499" t="s">
        <v>131</v>
      </c>
    </row>
    <row r="64" spans="1:14" ht="25.5" x14ac:dyDescent="0.2">
      <c r="A64" s="498"/>
      <c r="B64" s="264" t="s">
        <v>100</v>
      </c>
      <c r="C64" s="264" t="s">
        <v>101</v>
      </c>
      <c r="D64" s="264" t="s">
        <v>4</v>
      </c>
      <c r="E64" s="500"/>
    </row>
    <row r="65" spans="1:10" ht="18" customHeight="1" x14ac:dyDescent="0.2">
      <c r="A65" s="246" t="s">
        <v>103</v>
      </c>
      <c r="B65" s="265">
        <f>'VI. Diseño del Peaje 2.0 TD'!B79</f>
        <v>3070997.6136389663</v>
      </c>
      <c r="C65" s="265">
        <f>'VI. Diseño del Peaje 2.0 TD'!C79</f>
        <v>1023665.8712129887</v>
      </c>
      <c r="D65" s="266">
        <f>SUM(B65:C65)</f>
        <v>4094663.484851955</v>
      </c>
      <c r="E65" s="269">
        <f t="shared" ref="E65:E70" si="4">B65/D65</f>
        <v>0.75</v>
      </c>
      <c r="G65" s="48"/>
      <c r="I65" s="48"/>
      <c r="J65" s="263"/>
    </row>
    <row r="66" spans="1:10" ht="18" customHeight="1" x14ac:dyDescent="0.2">
      <c r="A66" s="249" t="s">
        <v>104</v>
      </c>
      <c r="B66" s="267">
        <f>'Va. Peajes transporte'!B91+'Vb. Peajes distribución'!B91</f>
        <v>617953.33780027076</v>
      </c>
      <c r="C66" s="267">
        <f>'Va. Peajes transporte'!C91+'Vb. Peajes distribución'!C91</f>
        <v>234651.09356562834</v>
      </c>
      <c r="D66" s="268">
        <f t="shared" ref="D66:D70" si="5">SUM(B66:C66)</f>
        <v>852604.43136589904</v>
      </c>
      <c r="E66" s="270">
        <f t="shared" si="4"/>
        <v>0.72478316446266899</v>
      </c>
      <c r="G66" s="48"/>
      <c r="I66" s="48"/>
    </row>
    <row r="67" spans="1:10" ht="18" customHeight="1" x14ac:dyDescent="0.2">
      <c r="A67" s="249" t="s">
        <v>105</v>
      </c>
      <c r="B67" s="267">
        <f>'Va. Peajes transporte'!B92+'Vb. Peajes distribución'!B92</f>
        <v>982817.42543754145</v>
      </c>
      <c r="C67" s="267">
        <f>'Va. Peajes transporte'!C92+'Vb. Peajes distribución'!C92</f>
        <v>383417.30045487866</v>
      </c>
      <c r="D67" s="268">
        <f t="shared" si="5"/>
        <v>1366234.7258924202</v>
      </c>
      <c r="E67" s="270">
        <f t="shared" si="4"/>
        <v>0.71936205895774474</v>
      </c>
      <c r="G67" s="48"/>
      <c r="I67" s="48"/>
    </row>
    <row r="68" spans="1:10" ht="18" customHeight="1" x14ac:dyDescent="0.2">
      <c r="A68" s="249" t="s">
        <v>106</v>
      </c>
      <c r="B68" s="267">
        <f>'Va. Peajes transporte'!B93+'Vb. Peajes distribución'!B93</f>
        <v>168041.99026466307</v>
      </c>
      <c r="C68" s="267">
        <f>'Va. Peajes transporte'!C93+'Vb. Peajes distribución'!C93</f>
        <v>66235.569972648242</v>
      </c>
      <c r="D68" s="268">
        <f t="shared" si="5"/>
        <v>234277.56023731129</v>
      </c>
      <c r="E68" s="270">
        <f t="shared" si="4"/>
        <v>0.71727736149567656</v>
      </c>
      <c r="G68" s="48"/>
      <c r="I68" s="48"/>
    </row>
    <row r="69" spans="1:10" ht="18" customHeight="1" x14ac:dyDescent="0.2">
      <c r="A69" s="249" t="s">
        <v>107</v>
      </c>
      <c r="B69" s="267">
        <f>'Va. Peajes transporte'!B94+'Vb. Peajes distribución'!B94</f>
        <v>62049.320106180778</v>
      </c>
      <c r="C69" s="267">
        <f>'Va. Peajes transporte'!C94+'Vb. Peajes distribución'!C94</f>
        <v>24342.259359395895</v>
      </c>
      <c r="D69" s="268">
        <f t="shared" si="5"/>
        <v>86391.57946557668</v>
      </c>
      <c r="E69" s="270">
        <f t="shared" si="4"/>
        <v>0.71823342610496843</v>
      </c>
      <c r="G69" s="48"/>
      <c r="I69" s="48"/>
    </row>
    <row r="70" spans="1:10" ht="18" customHeight="1" thickBot="1" x14ac:dyDescent="0.25">
      <c r="A70" s="252" t="s">
        <v>108</v>
      </c>
      <c r="B70" s="271">
        <f>'Va. Peajes transporte'!B95+'Vb. Peajes distribución'!B95</f>
        <v>104670.93760972748</v>
      </c>
      <c r="C70" s="271">
        <f>'Va. Peajes transporte'!C95+'Vb. Peajes distribución'!C95</f>
        <v>44524.125197616362</v>
      </c>
      <c r="D70" s="272">
        <f t="shared" si="5"/>
        <v>149195.06280734384</v>
      </c>
      <c r="E70" s="273">
        <f t="shared" si="4"/>
        <v>0.70157105496774697</v>
      </c>
      <c r="G70" s="48"/>
      <c r="I70" s="48"/>
    </row>
    <row r="71" spans="1:10" ht="7.5" customHeight="1" thickBot="1" x14ac:dyDescent="0.25">
      <c r="G71" s="48"/>
    </row>
    <row r="72" spans="1:10" s="1" customFormat="1" ht="18" customHeight="1" thickBot="1" x14ac:dyDescent="0.25">
      <c r="A72" s="68" t="s">
        <v>4</v>
      </c>
      <c r="B72" s="426">
        <f>SUM(B65:B70)</f>
        <v>5006530.6248573503</v>
      </c>
      <c r="C72" s="426">
        <f>SUM(C65:C70)</f>
        <v>1776836.2197631563</v>
      </c>
      <c r="D72" s="427">
        <f>SUM(B72:C72)</f>
        <v>6783366.8446205063</v>
      </c>
      <c r="E72" s="428">
        <f>B72/D72</f>
        <v>0.73805983658804164</v>
      </c>
      <c r="G72" s="48"/>
    </row>
    <row r="73" spans="1:10" s="1" customFormat="1" ht="18" customHeight="1" x14ac:dyDescent="0.2">
      <c r="A73" s="295"/>
      <c r="B73" s="296"/>
      <c r="C73" s="296"/>
      <c r="D73" s="297">
        <f>D72-SUM('I. Datos de entrada'!$C$14,'I. Datos de entrada'!$C$30)</f>
        <v>0</v>
      </c>
      <c r="E73" s="298"/>
    </row>
    <row r="74" spans="1:10" s="437" customFormat="1" ht="16.5" customHeight="1" x14ac:dyDescent="0.2">
      <c r="A74" s="437" t="s">
        <v>143</v>
      </c>
    </row>
    <row r="75" spans="1:10" ht="4.5" customHeight="1" thickBot="1" x14ac:dyDescent="0.3">
      <c r="A75" s="70"/>
    </row>
    <row r="76" spans="1:10" ht="22.5" customHeight="1" x14ac:dyDescent="0.2">
      <c r="A76" s="497" t="s">
        <v>102</v>
      </c>
      <c r="B76" s="183" t="s">
        <v>137</v>
      </c>
      <c r="C76" s="183"/>
      <c r="D76" s="183"/>
      <c r="E76" s="499" t="s">
        <v>139</v>
      </c>
    </row>
    <row r="77" spans="1:10" ht="18.75" customHeight="1" x14ac:dyDescent="0.2">
      <c r="A77" s="498"/>
      <c r="B77" s="264" t="s">
        <v>2</v>
      </c>
      <c r="C77" s="264" t="s">
        <v>138</v>
      </c>
      <c r="D77" s="264" t="s">
        <v>4</v>
      </c>
      <c r="E77" s="500"/>
    </row>
    <row r="78" spans="1:10" ht="18" customHeight="1" x14ac:dyDescent="0.2">
      <c r="A78" s="246" t="s">
        <v>103</v>
      </c>
      <c r="B78" s="265">
        <f>'VI. Diseño del Peaje 2.0 TD'!D77</f>
        <v>647946.56085424451</v>
      </c>
      <c r="C78" s="265">
        <f>'VI. Diseño del Peaje 2.0 TD'!D78</f>
        <v>3446716.9239977105</v>
      </c>
      <c r="D78" s="266">
        <f>SUM(B78:C78)</f>
        <v>4094663.484851955</v>
      </c>
      <c r="E78" s="269">
        <f t="shared" ref="E78:E83" si="6">B78/D78</f>
        <v>0.15824171223137068</v>
      </c>
      <c r="F78" s="263"/>
      <c r="G78" s="48"/>
      <c r="I78" s="263"/>
      <c r="J78" s="263"/>
    </row>
    <row r="79" spans="1:10" ht="18" customHeight="1" x14ac:dyDescent="0.2">
      <c r="A79" s="249" t="s">
        <v>104</v>
      </c>
      <c r="B79" s="267">
        <f>'Va. Peajes transporte'!D91</f>
        <v>152455.0566134119</v>
      </c>
      <c r="C79" s="267">
        <f>'Vb. Peajes distribución'!D91</f>
        <v>700149.37475248717</v>
      </c>
      <c r="D79" s="268">
        <f t="shared" ref="D79:D83" si="7">SUM(B79:C79)</f>
        <v>852604.43136589904</v>
      </c>
      <c r="E79" s="270">
        <f t="shared" si="6"/>
        <v>0.17881100661085483</v>
      </c>
      <c r="F79" s="263"/>
      <c r="G79" s="48"/>
      <c r="I79" s="263"/>
      <c r="J79" s="263"/>
    </row>
    <row r="80" spans="1:10" ht="18" customHeight="1" x14ac:dyDescent="0.2">
      <c r="A80" s="249" t="s">
        <v>105</v>
      </c>
      <c r="B80" s="267">
        <f>'Va. Peajes transporte'!D92</f>
        <v>364820.12388380436</v>
      </c>
      <c r="C80" s="267">
        <f>'Vb. Peajes distribución'!D92</f>
        <v>1001414.6020086159</v>
      </c>
      <c r="D80" s="268">
        <f t="shared" si="7"/>
        <v>1366234.7258924202</v>
      </c>
      <c r="E80" s="270">
        <f t="shared" ref="E80:E82" si="8">B80/D80</f>
        <v>0.26702594874061997</v>
      </c>
      <c r="F80" s="263"/>
      <c r="G80" s="48"/>
      <c r="I80" s="263"/>
      <c r="J80" s="263"/>
    </row>
    <row r="81" spans="1:10" ht="18" customHeight="1" x14ac:dyDescent="0.2">
      <c r="A81" s="249" t="s">
        <v>106</v>
      </c>
      <c r="B81" s="267">
        <f>'Va. Peajes transporte'!D93</f>
        <v>103268.43398142964</v>
      </c>
      <c r="C81" s="267">
        <f>'Vb. Peajes distribución'!D93</f>
        <v>131009.12625588168</v>
      </c>
      <c r="D81" s="268">
        <f t="shared" si="7"/>
        <v>234277.56023731132</v>
      </c>
      <c r="E81" s="270">
        <f t="shared" si="8"/>
        <v>0.44079524251842106</v>
      </c>
      <c r="F81" s="263"/>
      <c r="G81" s="48"/>
      <c r="I81" s="263"/>
      <c r="J81" s="263"/>
    </row>
    <row r="82" spans="1:10" ht="18" customHeight="1" x14ac:dyDescent="0.2">
      <c r="A82" s="249" t="s">
        <v>107</v>
      </c>
      <c r="B82" s="267">
        <f>'Va. Peajes transporte'!D94</f>
        <v>47054.637864603195</v>
      </c>
      <c r="C82" s="267">
        <f>'Vb. Peajes distribución'!D94</f>
        <v>39336.941600973478</v>
      </c>
      <c r="D82" s="268">
        <f t="shared" si="7"/>
        <v>86391.57946557668</v>
      </c>
      <c r="E82" s="270">
        <f t="shared" si="8"/>
        <v>0.5446669473539657</v>
      </c>
      <c r="F82" s="263"/>
      <c r="G82" s="48"/>
      <c r="I82" s="263"/>
      <c r="J82" s="263"/>
    </row>
    <row r="83" spans="1:10" ht="18" customHeight="1" thickBot="1" x14ac:dyDescent="0.25">
      <c r="A83" s="252" t="s">
        <v>108</v>
      </c>
      <c r="B83" s="271">
        <f>'Va. Peajes transporte'!D95</f>
        <v>149195.06280734384</v>
      </c>
      <c r="C83" s="271">
        <f>'Vb. Peajes distribución'!D95</f>
        <v>0</v>
      </c>
      <c r="D83" s="272">
        <f t="shared" si="7"/>
        <v>149195.06280734384</v>
      </c>
      <c r="E83" s="273">
        <f t="shared" si="6"/>
        <v>1</v>
      </c>
      <c r="F83" s="263"/>
      <c r="G83" s="48"/>
      <c r="I83" s="263"/>
      <c r="J83" s="263"/>
    </row>
    <row r="84" spans="1:10" ht="7.5" customHeight="1" thickBot="1" x14ac:dyDescent="0.25"/>
    <row r="85" spans="1:10" s="1" customFormat="1" ht="18" customHeight="1" thickBot="1" x14ac:dyDescent="0.25">
      <c r="A85" s="68" t="s">
        <v>4</v>
      </c>
      <c r="B85" s="426">
        <f>SUM(B78:B83)</f>
        <v>1464739.8760048375</v>
      </c>
      <c r="C85" s="426">
        <f>SUM(C78:C83)</f>
        <v>5318626.9686156688</v>
      </c>
      <c r="D85" s="427">
        <f>SUM(B85:C85)</f>
        <v>6783366.8446205063</v>
      </c>
      <c r="E85" s="428">
        <f>B85/D85</f>
        <v>0.21593110170157426</v>
      </c>
      <c r="G85" s="48"/>
    </row>
    <row r="86" spans="1:10" x14ac:dyDescent="0.2">
      <c r="B86" s="315"/>
      <c r="C86" s="315"/>
      <c r="D86" s="323"/>
      <c r="E86" s="324"/>
    </row>
    <row r="87" spans="1:10" x14ac:dyDescent="0.2">
      <c r="B87" s="263"/>
      <c r="C87" s="263"/>
      <c r="D87" s="263"/>
    </row>
  </sheetData>
  <mergeCells count="7">
    <mergeCell ref="A76:A77"/>
    <mergeCell ref="A10:A11"/>
    <mergeCell ref="A63:A64"/>
    <mergeCell ref="E63:E64"/>
    <mergeCell ref="E76:E77"/>
    <mergeCell ref="A21:A22"/>
    <mergeCell ref="A51:A52"/>
  </mergeCells>
  <pageMargins left="0.7" right="0.7" top="0.75" bottom="0.75" header="0.3" footer="0.3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1:P34"/>
  <sheetViews>
    <sheetView showGridLines="0" workbookViewId="0"/>
  </sheetViews>
  <sheetFormatPr baseColWidth="10" defaultRowHeight="12.75" x14ac:dyDescent="0.2"/>
  <cols>
    <col min="2" max="5" width="12.85546875" bestFit="1" customWidth="1"/>
    <col min="6" max="6" width="11.85546875" bestFit="1" customWidth="1"/>
    <col min="7" max="7" width="12.85546875" bestFit="1" customWidth="1"/>
  </cols>
  <sheetData>
    <row r="1" spans="1:7" s="1" customFormat="1" x14ac:dyDescent="0.2"/>
    <row r="2" spans="1:7" s="1" customFormat="1" x14ac:dyDescent="0.2"/>
    <row r="3" spans="1:7" s="1" customFormat="1" x14ac:dyDescent="0.2"/>
    <row r="4" spans="1:7" s="1" customFormat="1" x14ac:dyDescent="0.2"/>
    <row r="5" spans="1:7" s="1" customFormat="1" x14ac:dyDescent="0.2"/>
    <row r="6" spans="1:7" s="413" customFormat="1" ht="44.25" customHeight="1" x14ac:dyDescent="0.2">
      <c r="A6" s="552" t="s">
        <v>222</v>
      </c>
      <c r="B6" s="552"/>
      <c r="C6" s="552"/>
      <c r="D6" s="552"/>
      <c r="E6" s="552"/>
      <c r="F6" s="552"/>
      <c r="G6" s="552"/>
    </row>
    <row r="7" spans="1:7" ht="10.5" customHeight="1" thickBot="1" x14ac:dyDescent="0.25"/>
    <row r="8" spans="1:7" ht="25.5" customHeight="1" thickBot="1" x14ac:dyDescent="0.25">
      <c r="B8" s="198" t="s">
        <v>101</v>
      </c>
      <c r="C8" s="199"/>
      <c r="D8" s="199"/>
      <c r="E8" s="199"/>
      <c r="F8" s="199"/>
      <c r="G8" s="200"/>
    </row>
    <row r="9" spans="1:7" ht="13.5" thickBot="1" x14ac:dyDescent="0.25"/>
    <row r="10" spans="1:7" ht="25.5" customHeight="1" x14ac:dyDescent="0.2">
      <c r="A10" s="497" t="s">
        <v>58</v>
      </c>
      <c r="B10" s="183" t="s">
        <v>144</v>
      </c>
      <c r="C10" s="183"/>
      <c r="D10" s="183"/>
      <c r="E10" s="183"/>
      <c r="F10" s="183"/>
      <c r="G10" s="184"/>
    </row>
    <row r="11" spans="1:7" ht="24.95" customHeight="1" x14ac:dyDescent="0.2">
      <c r="A11" s="498"/>
      <c r="B11" s="185" t="s">
        <v>16</v>
      </c>
      <c r="C11" s="185" t="s">
        <v>17</v>
      </c>
      <c r="D11" s="185" t="s">
        <v>18</v>
      </c>
      <c r="E11" s="185" t="s">
        <v>19</v>
      </c>
      <c r="F11" s="185" t="s">
        <v>20</v>
      </c>
      <c r="G11" s="186" t="s">
        <v>21</v>
      </c>
    </row>
    <row r="12" spans="1:7" ht="15" customHeight="1" x14ac:dyDescent="0.2">
      <c r="A12" s="189" t="s">
        <v>11</v>
      </c>
      <c r="B12" s="305">
        <f>'IV. Metodología de asignación'!J85</f>
        <v>0</v>
      </c>
      <c r="C12" s="190">
        <f>'IV. Metodología de asignación'!K85</f>
        <v>0</v>
      </c>
      <c r="D12" s="190">
        <f>'IV. Metodología de asignación'!L85</f>
        <v>0</v>
      </c>
      <c r="E12" s="190">
        <f>'IV. Metodología de asignación'!M85</f>
        <v>0</v>
      </c>
      <c r="F12" s="190">
        <f>'IV. Metodología de asignación'!N85</f>
        <v>0</v>
      </c>
      <c r="G12" s="191">
        <f>'IV. Metodología de asignación'!O85</f>
        <v>0</v>
      </c>
    </row>
    <row r="13" spans="1:7" ht="15" customHeight="1" x14ac:dyDescent="0.2">
      <c r="A13" s="192" t="s">
        <v>12</v>
      </c>
      <c r="B13" s="306">
        <f>'IV. Metodología de asignación'!J86</f>
        <v>65506.973542447435</v>
      </c>
      <c r="C13" s="193">
        <f>'IV. Metodología de asignación'!K86</f>
        <v>59671.857624670374</v>
      </c>
      <c r="D13" s="193">
        <f>'IV. Metodología de asignación'!L86</f>
        <v>38642.219544407737</v>
      </c>
      <c r="E13" s="193">
        <f>'IV. Metodología de asignación'!M86</f>
        <v>30849.16567230098</v>
      </c>
      <c r="F13" s="193">
        <f>'IV. Metodología de asignación'!N86</f>
        <v>1373.1604089746245</v>
      </c>
      <c r="G13" s="194">
        <f>'IV. Metodología de asignación'!O86</f>
        <v>1647.9732582442725</v>
      </c>
    </row>
    <row r="14" spans="1:7" ht="15" customHeight="1" x14ac:dyDescent="0.2">
      <c r="A14" s="192" t="s">
        <v>13</v>
      </c>
      <c r="B14" s="306">
        <f>'IV. Metodología de asignación'!J88</f>
        <v>8113.5286944604813</v>
      </c>
      <c r="C14" s="193">
        <f>'IV. Metodología de asignación'!K88</f>
        <v>8345.0635029819023</v>
      </c>
      <c r="D14" s="193">
        <f>'IV. Metodología de asignación'!L88</f>
        <v>5859.8238837081572</v>
      </c>
      <c r="E14" s="193">
        <f>'IV. Metodología de asignación'!M88</f>
        <v>3802.7956639236891</v>
      </c>
      <c r="F14" s="193">
        <f>'IV. Metodología de asignación'!N88</f>
        <v>86.803400329138597</v>
      </c>
      <c r="G14" s="194">
        <f>'IV. Metodología de asignación'!O88</f>
        <v>135.10624286317613</v>
      </c>
    </row>
    <row r="15" spans="1:7" ht="15" customHeight="1" x14ac:dyDescent="0.2">
      <c r="A15" s="192" t="s">
        <v>14</v>
      </c>
      <c r="B15" s="306">
        <f>'IV. Metodología de asignación'!J91</f>
        <v>3187.4056363375707</v>
      </c>
      <c r="C15" s="193">
        <f>'IV. Metodología de asignación'!K91</f>
        <v>3087.8420199619777</v>
      </c>
      <c r="D15" s="193">
        <f>'IV. Metodología de asignación'!L91</f>
        <v>2669.000794394593</v>
      </c>
      <c r="E15" s="193">
        <f>'IV. Metodología de asignación'!M91</f>
        <v>1974.5261531574106</v>
      </c>
      <c r="F15" s="193">
        <f>'IV. Metodología de asignación'!N91</f>
        <v>69.27308911329699</v>
      </c>
      <c r="G15" s="194">
        <f>'IV. Metodología de asignación'!O91</f>
        <v>227.7364451217608</v>
      </c>
    </row>
    <row r="16" spans="1:7" s="302" customFormat="1" ht="15" customHeight="1" thickBot="1" x14ac:dyDescent="0.25">
      <c r="A16" s="299" t="s">
        <v>15</v>
      </c>
      <c r="B16" s="307">
        <f>'IV. Metodología de asignación'!J95</f>
        <v>12656.54108787754</v>
      </c>
      <c r="C16" s="300">
        <f>'IV. Metodología de asignación'!K95</f>
        <v>13218.859021141818</v>
      </c>
      <c r="D16" s="300">
        <f>'IV. Metodología de asignación'!L95</f>
        <v>10695.231211713437</v>
      </c>
      <c r="E16" s="300">
        <f>'IV. Metodología de asignación'!M95</f>
        <v>7147.4068727452377</v>
      </c>
      <c r="F16" s="300">
        <f>'IV. Metodología de asignación'!N95</f>
        <v>105.00393946336087</v>
      </c>
      <c r="G16" s="301">
        <f>'IV. Metodología de asignación'!O95</f>
        <v>701.08306467497357</v>
      </c>
    </row>
    <row r="17" spans="1:16" ht="13.5" thickBot="1" x14ac:dyDescent="0.25">
      <c r="G17" s="240"/>
    </row>
    <row r="18" spans="1:16" ht="24" customHeight="1" x14ac:dyDescent="0.2">
      <c r="A18" s="497" t="s">
        <v>58</v>
      </c>
      <c r="B18" s="183" t="s">
        <v>117</v>
      </c>
      <c r="C18" s="183"/>
      <c r="D18" s="183"/>
      <c r="E18" s="183"/>
      <c r="F18" s="183"/>
      <c r="G18" s="184"/>
    </row>
    <row r="19" spans="1:16" ht="24" customHeight="1" x14ac:dyDescent="0.2">
      <c r="A19" s="498"/>
      <c r="B19" s="185" t="s">
        <v>16</v>
      </c>
      <c r="C19" s="185" t="s">
        <v>17</v>
      </c>
      <c r="D19" s="185" t="s">
        <v>18</v>
      </c>
      <c r="E19" s="185" t="s">
        <v>19</v>
      </c>
      <c r="F19" s="185" t="s">
        <v>20</v>
      </c>
      <c r="G19" s="186" t="s">
        <v>21</v>
      </c>
    </row>
    <row r="20" spans="1:16" ht="15" customHeight="1" x14ac:dyDescent="0.2">
      <c r="A20" s="189" t="s">
        <v>11</v>
      </c>
      <c r="B20" s="305">
        <f>('I. Datos de entrada'!C101+'I. Datos de entrada'!C102)*1000</f>
        <v>13105626.109328471</v>
      </c>
      <c r="C20" s="190">
        <f>('I. Datos de entrada'!D101+'I. Datos de entrada'!D102)*1000</f>
        <v>15661605.923908038</v>
      </c>
      <c r="D20" s="190">
        <f>('I. Datos de entrada'!E101+'I. Datos de entrada'!E102)*1000</f>
        <v>12923598.223674146</v>
      </c>
      <c r="E20" s="190">
        <f>('I. Datos de entrada'!F101+'I. Datos de entrada'!F102)*1000</f>
        <v>14711753.722044777</v>
      </c>
      <c r="F20" s="190">
        <f>('I. Datos de entrada'!G101+'I. Datos de entrada'!G102)*1000</f>
        <v>5998079.1211256981</v>
      </c>
      <c r="G20" s="191">
        <f>('I. Datos de entrada'!H101+'I. Datos de entrada'!H102)*1000</f>
        <v>50719410.355725937</v>
      </c>
    </row>
    <row r="21" spans="1:16" ht="15" customHeight="1" x14ac:dyDescent="0.2">
      <c r="A21" s="192" t="s">
        <v>12</v>
      </c>
      <c r="B21" s="306">
        <f>'I. Datos de entrada'!C103*1000</f>
        <v>7348357.4614952048</v>
      </c>
      <c r="C21" s="193">
        <f>'I. Datos de entrada'!D103*1000</f>
        <v>8850167.2075083293</v>
      </c>
      <c r="D21" s="193">
        <f>'I. Datos de entrada'!E103*1000</f>
        <v>8367899.2446384765</v>
      </c>
      <c r="E21" s="193">
        <f>'I. Datos de entrada'!F103*1000</f>
        <v>9713799.7050765418</v>
      </c>
      <c r="F21" s="193">
        <f>'I. Datos de entrada'!G103*1000</f>
        <v>4018639.7236762899</v>
      </c>
      <c r="G21" s="194">
        <f>'I. Datos de entrada'!H103*1000</f>
        <v>31887696.20007946</v>
      </c>
      <c r="K21" s="320"/>
    </row>
    <row r="22" spans="1:16" ht="15" customHeight="1" x14ac:dyDescent="0.2">
      <c r="A22" s="192" t="s">
        <v>13</v>
      </c>
      <c r="B22" s="306">
        <f>'I. Datos de entrada'!C104*1000</f>
        <v>2249035.240585146</v>
      </c>
      <c r="C22" s="193">
        <f>'I. Datos de entrada'!D104*1000</f>
        <v>2913078.1876007761</v>
      </c>
      <c r="D22" s="193">
        <f>'I. Datos de entrada'!E104*1000</f>
        <v>2644316.8427591687</v>
      </c>
      <c r="E22" s="193">
        <f>'I. Datos de entrada'!F104*1000</f>
        <v>3128218.0964022726</v>
      </c>
      <c r="F22" s="193">
        <f>'I. Datos de entrada'!G104*1000</f>
        <v>1378271.3170981565</v>
      </c>
      <c r="G22" s="194">
        <f>'I. Datos de entrada'!H104*1000</f>
        <v>12410288.280022774</v>
      </c>
      <c r="K22" s="322"/>
    </row>
    <row r="23" spans="1:16" ht="15" customHeight="1" x14ac:dyDescent="0.2">
      <c r="A23" s="192" t="s">
        <v>14</v>
      </c>
      <c r="B23" s="306">
        <f>'I. Datos de entrada'!C105*1000</f>
        <v>834021.87476251693</v>
      </c>
      <c r="C23" s="193">
        <f>'I. Datos de entrada'!D105*1000</f>
        <v>1105250.781434265</v>
      </c>
      <c r="D23" s="193">
        <f>'I. Datos de entrada'!E105*1000</f>
        <v>1053247.3693529735</v>
      </c>
      <c r="E23" s="193">
        <f>'I. Datos de entrada'!F105*1000</f>
        <v>1267673.2117090162</v>
      </c>
      <c r="F23" s="193">
        <f>'I. Datos de entrada'!G105*1000</f>
        <v>558385.66467954952</v>
      </c>
      <c r="G23" s="194">
        <f>'I. Datos de entrada'!H105*1000</f>
        <v>5742318.8943006136</v>
      </c>
    </row>
    <row r="24" spans="1:16" s="302" customFormat="1" ht="15" customHeight="1" thickBot="1" x14ac:dyDescent="0.25">
      <c r="A24" s="299" t="s">
        <v>15</v>
      </c>
      <c r="B24" s="307">
        <f>'I. Datos de entrada'!C106*1000</f>
        <v>1745877.2948880428</v>
      </c>
      <c r="C24" s="300">
        <f>'I. Datos de entrada'!D106*1000</f>
        <v>2379894.4294305397</v>
      </c>
      <c r="D24" s="300">
        <f>'I. Datos de entrada'!E106*1000</f>
        <v>2234404.1270323857</v>
      </c>
      <c r="E24" s="300">
        <f>'I. Datos de entrada'!F106*1000</f>
        <v>2717319.9719521734</v>
      </c>
      <c r="F24" s="300">
        <f>'I. Datos de entrada'!G106*1000</f>
        <v>1237931.4217128614</v>
      </c>
      <c r="G24" s="301">
        <f>'I. Datos de entrada'!H106*1000</f>
        <v>13629712.246371733</v>
      </c>
    </row>
    <row r="25" spans="1:16" ht="13.5" thickBot="1" x14ac:dyDescent="0.25">
      <c r="A25" s="187"/>
      <c r="B25" s="188"/>
      <c r="C25" s="188"/>
      <c r="D25" s="188"/>
      <c r="E25" s="188"/>
      <c r="F25" s="188"/>
      <c r="G25" s="188"/>
    </row>
    <row r="26" spans="1:16" ht="24" customHeight="1" x14ac:dyDescent="0.2">
      <c r="A26" s="497" t="s">
        <v>58</v>
      </c>
      <c r="B26" s="183" t="s">
        <v>145</v>
      </c>
      <c r="C26" s="183"/>
      <c r="D26" s="183"/>
      <c r="E26" s="183"/>
      <c r="F26" s="183"/>
      <c r="G26" s="184"/>
    </row>
    <row r="27" spans="1:16" ht="24" customHeight="1" x14ac:dyDescent="0.2">
      <c r="A27" s="498"/>
      <c r="B27" s="185" t="s">
        <v>16</v>
      </c>
      <c r="C27" s="185" t="s">
        <v>17</v>
      </c>
      <c r="D27" s="185" t="s">
        <v>18</v>
      </c>
      <c r="E27" s="185" t="s">
        <v>19</v>
      </c>
      <c r="F27" s="185" t="s">
        <v>20</v>
      </c>
      <c r="G27" s="186" t="s">
        <v>21</v>
      </c>
    </row>
    <row r="28" spans="1:16" ht="15" customHeight="1" x14ac:dyDescent="0.2">
      <c r="A28" s="189" t="s">
        <v>11</v>
      </c>
      <c r="B28" s="308">
        <f t="shared" ref="B28:G32" si="0">B12/B20</f>
        <v>0</v>
      </c>
      <c r="C28" s="232">
        <f t="shared" si="0"/>
        <v>0</v>
      </c>
      <c r="D28" s="232">
        <f t="shared" si="0"/>
        <v>0</v>
      </c>
      <c r="E28" s="232">
        <f t="shared" si="0"/>
        <v>0</v>
      </c>
      <c r="F28" s="232">
        <f t="shared" si="0"/>
        <v>0</v>
      </c>
      <c r="G28" s="233">
        <f t="shared" si="0"/>
        <v>0</v>
      </c>
      <c r="I28" s="416"/>
      <c r="J28" s="416"/>
      <c r="K28" s="416"/>
      <c r="L28" s="416"/>
      <c r="M28" s="416"/>
      <c r="N28" s="416"/>
      <c r="O28" s="416"/>
      <c r="P28" s="416"/>
    </row>
    <row r="29" spans="1:16" ht="15" customHeight="1" x14ac:dyDescent="0.2">
      <c r="A29" s="192" t="s">
        <v>12</v>
      </c>
      <c r="B29" s="309">
        <f t="shared" si="0"/>
        <v>8.9145055729390743E-3</v>
      </c>
      <c r="C29" s="235">
        <f t="shared" si="0"/>
        <v>6.7424553938422544E-3</v>
      </c>
      <c r="D29" s="235">
        <f t="shared" si="0"/>
        <v>4.6179116663201672E-3</v>
      </c>
      <c r="E29" s="235">
        <f t="shared" si="0"/>
        <v>3.1758082942742638E-3</v>
      </c>
      <c r="F29" s="235">
        <f t="shared" si="0"/>
        <v>3.4169781403505471E-4</v>
      </c>
      <c r="G29" s="236">
        <f t="shared" si="0"/>
        <v>5.1680536841045481E-5</v>
      </c>
      <c r="I29" s="416"/>
      <c r="J29" s="416"/>
      <c r="K29" s="416"/>
      <c r="L29" s="416"/>
      <c r="M29" s="416"/>
      <c r="N29" s="416"/>
      <c r="O29" s="416"/>
      <c r="P29" s="416"/>
    </row>
    <row r="30" spans="1:16" ht="15" customHeight="1" x14ac:dyDescent="0.2">
      <c r="A30" s="192" t="s">
        <v>13</v>
      </c>
      <c r="B30" s="309">
        <f t="shared" si="0"/>
        <v>3.607559609581543E-3</v>
      </c>
      <c r="C30" s="235">
        <f t="shared" si="0"/>
        <v>2.8646891588773086E-3</v>
      </c>
      <c r="D30" s="235">
        <f t="shared" si="0"/>
        <v>2.2160067163486431E-3</v>
      </c>
      <c r="E30" s="235">
        <f t="shared" si="0"/>
        <v>1.2156427546714983E-3</v>
      </c>
      <c r="F30" s="235">
        <f t="shared" si="0"/>
        <v>6.2979907694731994E-5</v>
      </c>
      <c r="G30" s="236">
        <f t="shared" si="0"/>
        <v>1.0886632108350042E-5</v>
      </c>
      <c r="I30" s="416"/>
      <c r="J30" s="416"/>
      <c r="K30" s="416"/>
      <c r="L30" s="416"/>
      <c r="M30" s="416"/>
      <c r="N30" s="416"/>
      <c r="O30" s="416"/>
      <c r="P30" s="416"/>
    </row>
    <row r="31" spans="1:16" ht="15" customHeight="1" x14ac:dyDescent="0.2">
      <c r="A31" s="192" t="s">
        <v>14</v>
      </c>
      <c r="B31" s="309">
        <f t="shared" si="0"/>
        <v>3.8217290610575013E-3</v>
      </c>
      <c r="C31" s="235">
        <f t="shared" si="0"/>
        <v>2.7937931117813265E-3</v>
      </c>
      <c r="D31" s="235">
        <f t="shared" si="0"/>
        <v>2.5340683224627488E-3</v>
      </c>
      <c r="E31" s="235">
        <f t="shared" si="0"/>
        <v>1.5575987051863699E-3</v>
      </c>
      <c r="F31" s="235">
        <f t="shared" si="0"/>
        <v>1.2405957655279697E-4</v>
      </c>
      <c r="G31" s="236">
        <f t="shared" si="0"/>
        <v>3.9659316961270572E-5</v>
      </c>
      <c r="I31" s="416"/>
      <c r="J31" s="416"/>
      <c r="K31" s="416"/>
      <c r="L31" s="416"/>
      <c r="M31" s="416"/>
      <c r="N31" s="416"/>
      <c r="O31" s="416"/>
      <c r="P31" s="416"/>
    </row>
    <row r="32" spans="1:16" s="302" customFormat="1" ht="15" customHeight="1" thickBot="1" x14ac:dyDescent="0.25">
      <c r="A32" s="299" t="s">
        <v>15</v>
      </c>
      <c r="B32" s="310">
        <f t="shared" si="0"/>
        <v>7.249387528514231E-3</v>
      </c>
      <c r="C32" s="303">
        <f t="shared" si="0"/>
        <v>5.5543888240054502E-3</v>
      </c>
      <c r="D32" s="303">
        <f t="shared" si="0"/>
        <v>4.7866145082350268E-3</v>
      </c>
      <c r="E32" s="303">
        <f t="shared" si="0"/>
        <v>2.6303147757790212E-3</v>
      </c>
      <c r="F32" s="303">
        <f t="shared" si="0"/>
        <v>8.4822097267773014E-5</v>
      </c>
      <c r="G32" s="304">
        <f t="shared" si="0"/>
        <v>5.1437847843163659E-5</v>
      </c>
      <c r="I32" s="416"/>
      <c r="J32" s="416"/>
      <c r="K32" s="416"/>
      <c r="L32" s="416"/>
      <c r="M32" s="416"/>
      <c r="N32" s="416"/>
      <c r="O32" s="416"/>
      <c r="P32" s="416"/>
    </row>
    <row r="34" spans="2:4" x14ac:dyDescent="0.2">
      <c r="B34" s="240"/>
      <c r="C34" s="214"/>
      <c r="D34" s="89"/>
    </row>
  </sheetData>
  <mergeCells count="4">
    <mergeCell ref="A10:A11"/>
    <mergeCell ref="A18:A19"/>
    <mergeCell ref="A26:A27"/>
    <mergeCell ref="A6:G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8E6A-DE82-4A94-8200-EF11E37FBBFF}">
  <dimension ref="A1:U73"/>
  <sheetViews>
    <sheetView showGridLines="0" workbookViewId="0">
      <selection activeCell="G27" sqref="G27"/>
    </sheetView>
  </sheetViews>
  <sheetFormatPr baseColWidth="10" defaultRowHeight="12.75" x14ac:dyDescent="0.2"/>
  <cols>
    <col min="1" max="1" width="12.7109375" bestFit="1" customWidth="1"/>
    <col min="2" max="2" width="14.85546875" customWidth="1"/>
    <col min="3" max="3" width="14.5703125" customWidth="1"/>
    <col min="4" max="4" width="13.7109375" bestFit="1" customWidth="1"/>
    <col min="8" max="13" width="12.140625" bestFit="1" customWidth="1"/>
  </cols>
  <sheetData>
    <row r="1" spans="1:13" s="1" customFormat="1" x14ac:dyDescent="0.2"/>
    <row r="2" spans="1:13" s="1" customFormat="1" x14ac:dyDescent="0.2"/>
    <row r="3" spans="1:13" s="1" customFormat="1" x14ac:dyDescent="0.2"/>
    <row r="4" spans="1:13" s="1" customFormat="1" x14ac:dyDescent="0.2"/>
    <row r="5" spans="1:13" s="1" customFormat="1" x14ac:dyDescent="0.2"/>
    <row r="6" spans="1:13" s="413" customFormat="1" ht="30" customHeight="1" x14ac:dyDescent="0.2">
      <c r="A6" s="413" t="s">
        <v>209</v>
      </c>
    </row>
    <row r="8" spans="1:13" s="425" customFormat="1" ht="15.75" x14ac:dyDescent="0.25">
      <c r="A8" s="438" t="s">
        <v>175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</row>
    <row r="9" spans="1:13" ht="13.5" thickBot="1" x14ac:dyDescent="0.25"/>
    <row r="10" spans="1:13" ht="13.5" thickBot="1" x14ac:dyDescent="0.25">
      <c r="A10" s="553" t="s">
        <v>179</v>
      </c>
      <c r="B10" s="1"/>
      <c r="C10" s="1"/>
    </row>
    <row r="11" spans="1:13" ht="18" customHeight="1" x14ac:dyDescent="0.2">
      <c r="A11" s="554" t="s">
        <v>176</v>
      </c>
      <c r="B11" s="555"/>
      <c r="C11" s="556">
        <v>50</v>
      </c>
    </row>
    <row r="12" spans="1:13" ht="18" customHeight="1" x14ac:dyDescent="0.2">
      <c r="A12" s="557" t="s">
        <v>177</v>
      </c>
      <c r="B12" s="558"/>
      <c r="C12" s="559">
        <v>28.799969999999998</v>
      </c>
    </row>
    <row r="13" spans="1:13" ht="18" customHeight="1" x14ac:dyDescent="0.2">
      <c r="A13" s="557" t="s">
        <v>178</v>
      </c>
      <c r="B13" s="558"/>
      <c r="C13" s="559">
        <f>C11*C12/60</f>
        <v>23.999974999999999</v>
      </c>
    </row>
    <row r="14" spans="1:13" ht="18" customHeight="1" x14ac:dyDescent="0.2">
      <c r="A14" s="557" t="s">
        <v>180</v>
      </c>
      <c r="B14" s="558"/>
      <c r="C14" s="560">
        <v>0.1</v>
      </c>
    </row>
    <row r="15" spans="1:13" ht="18" customHeight="1" thickBot="1" x14ac:dyDescent="0.25">
      <c r="A15" s="561" t="s">
        <v>181</v>
      </c>
      <c r="B15" s="562"/>
      <c r="C15" s="563">
        <f>C11*8760*C14</f>
        <v>43800</v>
      </c>
    </row>
    <row r="16" spans="1:13" ht="13.5" thickBot="1" x14ac:dyDescent="0.25">
      <c r="A16" s="396"/>
      <c r="D16" s="397"/>
    </row>
    <row r="17" spans="1:21" s="340" customFormat="1" ht="24.95" customHeight="1" x14ac:dyDescent="0.2">
      <c r="A17" s="501" t="s">
        <v>152</v>
      </c>
      <c r="B17" s="183" t="s">
        <v>184</v>
      </c>
      <c r="C17" s="183"/>
      <c r="D17" s="183"/>
      <c r="E17" s="183"/>
      <c r="F17" s="183"/>
      <c r="G17" s="183"/>
      <c r="H17" s="341" t="s">
        <v>185</v>
      </c>
      <c r="I17" s="341"/>
      <c r="J17" s="398"/>
      <c r="K17" s="398"/>
      <c r="L17" s="398"/>
      <c r="M17" s="342"/>
    </row>
    <row r="18" spans="1:21" s="340" customFormat="1" ht="24.95" customHeight="1" x14ac:dyDescent="0.2">
      <c r="A18" s="502"/>
      <c r="B18" s="185" t="s">
        <v>16</v>
      </c>
      <c r="C18" s="185" t="s">
        <v>17</v>
      </c>
      <c r="D18" s="185" t="s">
        <v>18</v>
      </c>
      <c r="E18" s="185" t="s">
        <v>19</v>
      </c>
      <c r="F18" s="185" t="s">
        <v>20</v>
      </c>
      <c r="G18" s="185" t="s">
        <v>21</v>
      </c>
      <c r="H18" s="185" t="s">
        <v>16</v>
      </c>
      <c r="I18" s="185" t="s">
        <v>17</v>
      </c>
      <c r="J18" s="185" t="s">
        <v>18</v>
      </c>
      <c r="K18" s="185" t="s">
        <v>19</v>
      </c>
      <c r="L18" s="185" t="s">
        <v>20</v>
      </c>
      <c r="M18" s="186" t="s">
        <v>21</v>
      </c>
    </row>
    <row r="19" spans="1:21" s="340" customFormat="1" ht="30" customHeight="1" x14ac:dyDescent="0.2">
      <c r="A19" s="381" t="s">
        <v>2</v>
      </c>
      <c r="B19" s="390">
        <f>'Va. Peajes transporte'!B80</f>
        <v>1.4672501509319484</v>
      </c>
      <c r="C19" s="390">
        <f>'Va. Peajes transporte'!C80</f>
        <v>1.3429580992009087</v>
      </c>
      <c r="D19" s="390">
        <f>'Va. Peajes transporte'!D80</f>
        <v>0.91388281007849004</v>
      </c>
      <c r="E19" s="390">
        <f>'Va. Peajes transporte'!E80</f>
        <v>0.57313187706680435</v>
      </c>
      <c r="F19" s="390">
        <f>'Va. Peajes transporte'!F80</f>
        <v>2.6593048882201726E-2</v>
      </c>
      <c r="G19" s="390">
        <f>'Va. Peajes transporte'!G80</f>
        <v>2.6593048882201726E-2</v>
      </c>
      <c r="H19" s="391">
        <f>'Va. Peajes transporte'!I80</f>
        <v>4.5261035692529591E-3</v>
      </c>
      <c r="I19" s="391">
        <f>'Va. Peajes transporte'!J80</f>
        <v>3.5409789929301246E-3</v>
      </c>
      <c r="J19" s="391">
        <f>'Va. Peajes transporte'!K80</f>
        <v>2.9267724039110541E-3</v>
      </c>
      <c r="K19" s="391">
        <f>'Va. Peajes transporte'!L80</f>
        <v>1.5941794011283318E-3</v>
      </c>
      <c r="L19" s="391">
        <f>'Va. Peajes transporte'!M80</f>
        <v>5.6079090143786325E-5</v>
      </c>
      <c r="M19" s="392">
        <f>'Va. Peajes transporte'!N80</f>
        <v>3.663622412291583E-5</v>
      </c>
      <c r="O19" s="350"/>
      <c r="P19" s="349"/>
      <c r="Q19" s="349"/>
      <c r="R19" s="349"/>
      <c r="S19" s="349"/>
      <c r="T19" s="349"/>
      <c r="U19" s="343"/>
    </row>
    <row r="20" spans="1:21" s="340" customFormat="1" ht="30" customHeight="1" x14ac:dyDescent="0.2">
      <c r="A20" s="399" t="s">
        <v>158</v>
      </c>
      <c r="B20" s="400">
        <f>'Vb. Peajes distribución'!B80</f>
        <v>8.7246461310080221</v>
      </c>
      <c r="C20" s="400">
        <f>'Vb. Peajes distribución'!C80</f>
        <v>8.0656669017969236</v>
      </c>
      <c r="D20" s="400">
        <f>'Vb. Peajes distribución'!D80</f>
        <v>3.8709704106949685</v>
      </c>
      <c r="E20" s="400">
        <f>'Vb. Peajes distribución'!E80</f>
        <v>3.0754121172111284</v>
      </c>
      <c r="F20" s="400">
        <f>'Vb. Peajes distribución'!F80</f>
        <v>0.91838825721207651</v>
      </c>
      <c r="G20" s="400">
        <f>'Vb. Peajes distribución'!G80</f>
        <v>0.91838825721207651</v>
      </c>
      <c r="H20" s="401">
        <f>'Vb. Peajes distribución'!I80</f>
        <v>1.2592872184742591E-2</v>
      </c>
      <c r="I20" s="401">
        <f>'Vb. Peajes distribución'!J80</f>
        <v>9.604819291533671E-3</v>
      </c>
      <c r="J20" s="401">
        <f>'Vb. Peajes distribución'!K80</f>
        <v>7.514439533462574E-3</v>
      </c>
      <c r="K20" s="401">
        <f>'Vb. Peajes distribución'!L80</f>
        <v>4.781447320837592E-3</v>
      </c>
      <c r="L20" s="401">
        <f>'Vb. Peajes distribución'!M80</f>
        <v>4.5422163094489565E-4</v>
      </c>
      <c r="M20" s="402">
        <f>'Vb. Peajes distribución'!N80</f>
        <v>7.6994481341650744E-5</v>
      </c>
      <c r="O20" s="350"/>
      <c r="P20" s="349"/>
      <c r="Q20" s="349"/>
      <c r="R20" s="349"/>
      <c r="S20" s="349"/>
      <c r="T20" s="349"/>
      <c r="U20" s="343"/>
    </row>
    <row r="21" spans="1:21" s="340" customFormat="1" ht="30" customHeight="1" thickBot="1" x14ac:dyDescent="0.25">
      <c r="A21" s="417" t="s">
        <v>163</v>
      </c>
      <c r="B21" s="418">
        <f>SUM(B19:B20)</f>
        <v>10.19189628193997</v>
      </c>
      <c r="C21" s="418">
        <f>SUM(C19:C20)</f>
        <v>9.4086250009978318</v>
      </c>
      <c r="D21" s="418">
        <f t="shared" ref="D21:G21" si="0">SUM(D19:D20)</f>
        <v>4.7848532207734582</v>
      </c>
      <c r="E21" s="418">
        <f t="shared" si="0"/>
        <v>3.648543994277933</v>
      </c>
      <c r="F21" s="418">
        <f t="shared" si="0"/>
        <v>0.94498130609427822</v>
      </c>
      <c r="G21" s="418">
        <f t="shared" si="0"/>
        <v>0.94498130609427822</v>
      </c>
      <c r="H21" s="419">
        <f>SUM(H19:H20)</f>
        <v>1.7118975753995548E-2</v>
      </c>
      <c r="I21" s="419">
        <f t="shared" ref="I21" si="1">SUM(I19:I20)</f>
        <v>1.3145798284463796E-2</v>
      </c>
      <c r="J21" s="419">
        <f t="shared" ref="J21" si="2">SUM(J19:J20)</f>
        <v>1.0441211937373629E-2</v>
      </c>
      <c r="K21" s="419">
        <f t="shared" ref="K21" si="3">SUM(K19:K20)</f>
        <v>6.3756267219659234E-3</v>
      </c>
      <c r="L21" s="419">
        <f t="shared" ref="L21" si="4">SUM(L19:L20)</f>
        <v>5.1030072108868203E-4</v>
      </c>
      <c r="M21" s="420">
        <f t="shared" ref="M21" si="5">SUM(M19:M20)</f>
        <v>1.1363070546456657E-4</v>
      </c>
      <c r="O21" s="350"/>
      <c r="P21" s="349"/>
      <c r="Q21" s="349"/>
      <c r="R21" s="349"/>
      <c r="S21" s="349"/>
      <c r="T21" s="349"/>
      <c r="U21" s="343"/>
    </row>
    <row r="22" spans="1:21" ht="13.5" thickBot="1" x14ac:dyDescent="0.25">
      <c r="A22" s="395"/>
    </row>
    <row r="23" spans="1:21" s="340" customFormat="1" ht="23.25" customHeight="1" x14ac:dyDescent="0.2">
      <c r="A23" s="501" t="s">
        <v>152</v>
      </c>
      <c r="B23" s="183" t="s">
        <v>182</v>
      </c>
      <c r="C23" s="183"/>
      <c r="D23" s="183"/>
      <c r="E23" s="499" t="s">
        <v>131</v>
      </c>
    </row>
    <row r="24" spans="1:21" s="340" customFormat="1" ht="38.25" x14ac:dyDescent="0.2">
      <c r="A24" s="502"/>
      <c r="B24" s="264" t="s">
        <v>186</v>
      </c>
      <c r="C24" s="264" t="s">
        <v>187</v>
      </c>
      <c r="D24" s="264" t="s">
        <v>188</v>
      </c>
      <c r="E24" s="500"/>
    </row>
    <row r="25" spans="1:21" ht="18" customHeight="1" x14ac:dyDescent="0.2">
      <c r="A25" s="383" t="s">
        <v>165</v>
      </c>
      <c r="B25" s="393">
        <f>$C$11*SUM(B19:G19)</f>
        <v>217.52045175212774</v>
      </c>
      <c r="C25" s="393">
        <f>$C$15*AVERAGE(H19:M19)</f>
        <v>92.569472674870966</v>
      </c>
      <c r="D25" s="393">
        <f>SUM(B25:C25)</f>
        <v>310.08992442699872</v>
      </c>
      <c r="E25" s="568">
        <f t="shared" ref="E25" si="6">B25/D25</f>
        <v>0.70147539348166199</v>
      </c>
      <c r="F25" s="263"/>
      <c r="G25" s="263"/>
      <c r="I25" s="263"/>
      <c r="J25" s="263"/>
      <c r="K25" s="263"/>
      <c r="L25" s="263"/>
    </row>
    <row r="26" spans="1:21" ht="18" customHeight="1" x14ac:dyDescent="0.2">
      <c r="A26" s="403" t="s">
        <v>166</v>
      </c>
      <c r="B26" s="569">
        <f>$C$11*SUM(B20:G20)</f>
        <v>1278.6736037567598</v>
      </c>
      <c r="C26" s="569">
        <f>$C$15*AVERAGE(H20:M20)</f>
        <v>255.68099943289971</v>
      </c>
      <c r="D26" s="569">
        <f>SUM(B26:C26)</f>
        <v>1534.3546031896594</v>
      </c>
      <c r="E26" s="570">
        <f>B26/D26</f>
        <v>0.83336251026888908</v>
      </c>
      <c r="F26" s="263"/>
      <c r="G26" s="263"/>
      <c r="I26" s="263"/>
      <c r="J26" s="263"/>
      <c r="K26" s="263"/>
      <c r="L26" s="263"/>
    </row>
    <row r="27" spans="1:21" ht="18" customHeight="1" thickBot="1" x14ac:dyDescent="0.25">
      <c r="A27" s="429" t="s">
        <v>4</v>
      </c>
      <c r="B27" s="571">
        <f>SUM(B25:B26)</f>
        <v>1496.1940555088875</v>
      </c>
      <c r="C27" s="571">
        <f t="shared" ref="C27:D27" si="7">SUM(C25:C26)</f>
        <v>348.25047210777069</v>
      </c>
      <c r="D27" s="571">
        <f t="shared" si="7"/>
        <v>1844.4445276166582</v>
      </c>
      <c r="E27" s="572">
        <f>B27/D27</f>
        <v>0.81118951158820118</v>
      </c>
      <c r="F27" s="263"/>
      <c r="G27" s="263"/>
    </row>
    <row r="28" spans="1:21" s="340" customFormat="1" x14ac:dyDescent="0.2"/>
    <row r="29" spans="1:21" s="340" customFormat="1" ht="13.5" thickBot="1" x14ac:dyDescent="0.25"/>
    <row r="30" spans="1:21" s="340" customFormat="1" ht="36.75" customHeight="1" x14ac:dyDescent="0.2">
      <c r="A30" s="501" t="s">
        <v>152</v>
      </c>
      <c r="B30" s="183" t="s">
        <v>183</v>
      </c>
      <c r="C30" s="184"/>
    </row>
    <row r="31" spans="1:21" s="340" customFormat="1" ht="51" x14ac:dyDescent="0.2">
      <c r="A31" s="502"/>
      <c r="B31" s="264" t="s">
        <v>189</v>
      </c>
      <c r="C31" s="339" t="s">
        <v>190</v>
      </c>
    </row>
    <row r="32" spans="1:21" ht="18" customHeight="1" x14ac:dyDescent="0.2">
      <c r="A32" s="383" t="s">
        <v>165</v>
      </c>
      <c r="B32" s="573">
        <f>D25*20%/B25</f>
        <v>0.28511335088652462</v>
      </c>
      <c r="C32" s="574">
        <f>D25*80%/C25</f>
        <v>2.6798460915176081</v>
      </c>
      <c r="D32" s="340"/>
      <c r="E32" s="340"/>
      <c r="F32" s="263"/>
      <c r="G32" s="263"/>
      <c r="I32" s="263"/>
      <c r="J32" s="263"/>
      <c r="K32" s="263"/>
      <c r="L32" s="263"/>
    </row>
    <row r="33" spans="1:21" ht="18" customHeight="1" thickBot="1" x14ac:dyDescent="0.25">
      <c r="A33" s="387" t="s">
        <v>166</v>
      </c>
      <c r="B33" s="575">
        <f>D26*20%/B26</f>
        <v>0.23999159733675668</v>
      </c>
      <c r="C33" s="576">
        <f>D26*80%/C26</f>
        <v>4.8008404428732891</v>
      </c>
      <c r="D33" s="340"/>
      <c r="E33" s="340"/>
      <c r="F33" s="263"/>
      <c r="G33" s="263"/>
      <c r="I33" s="263"/>
      <c r="J33" s="263"/>
      <c r="K33" s="263"/>
      <c r="L33" s="263"/>
    </row>
    <row r="34" spans="1:21" s="340" customFormat="1" ht="13.5" thickBot="1" x14ac:dyDescent="0.25"/>
    <row r="35" spans="1:21" s="340" customFormat="1" ht="24.95" customHeight="1" x14ac:dyDescent="0.2">
      <c r="A35" s="501" t="s">
        <v>152</v>
      </c>
      <c r="B35" s="183" t="s">
        <v>191</v>
      </c>
      <c r="C35" s="183"/>
      <c r="D35" s="183"/>
      <c r="E35" s="183"/>
      <c r="F35" s="183"/>
      <c r="G35" s="183"/>
      <c r="H35" s="341" t="s">
        <v>192</v>
      </c>
      <c r="I35" s="341"/>
      <c r="J35" s="398"/>
      <c r="K35" s="398"/>
      <c r="L35" s="398"/>
      <c r="M35" s="342"/>
    </row>
    <row r="36" spans="1:21" s="340" customFormat="1" ht="24.95" customHeight="1" x14ac:dyDescent="0.2">
      <c r="A36" s="502"/>
      <c r="B36" s="185" t="s">
        <v>16</v>
      </c>
      <c r="C36" s="185" t="s">
        <v>17</v>
      </c>
      <c r="D36" s="185" t="s">
        <v>18</v>
      </c>
      <c r="E36" s="185" t="s">
        <v>19</v>
      </c>
      <c r="F36" s="185" t="s">
        <v>20</v>
      </c>
      <c r="G36" s="185" t="s">
        <v>21</v>
      </c>
      <c r="H36" s="185" t="s">
        <v>16</v>
      </c>
      <c r="I36" s="185" t="s">
        <v>17</v>
      </c>
      <c r="J36" s="185" t="s">
        <v>18</v>
      </c>
      <c r="K36" s="185" t="s">
        <v>19</v>
      </c>
      <c r="L36" s="185" t="s">
        <v>20</v>
      </c>
      <c r="M36" s="186" t="s">
        <v>21</v>
      </c>
    </row>
    <row r="37" spans="1:21" s="340" customFormat="1" ht="30" customHeight="1" x14ac:dyDescent="0.2">
      <c r="A37" s="381" t="s">
        <v>2</v>
      </c>
      <c r="B37" s="390">
        <f>$B$32*B19</f>
        <v>0.41833260712096682</v>
      </c>
      <c r="C37" s="390">
        <f>$B$32*C19</f>
        <v>0.38289528376336884</v>
      </c>
      <c r="D37" s="390">
        <f>$B$32*D19</f>
        <v>0.26056019029907168</v>
      </c>
      <c r="E37" s="390">
        <f>$B$32*E19</f>
        <v>0.16340754997040027</v>
      </c>
      <c r="F37" s="390">
        <f>$B$32*F19</f>
        <v>7.5820332770936824E-3</v>
      </c>
      <c r="G37" s="390">
        <f>$B$32*G19</f>
        <v>7.5820332770936824E-3</v>
      </c>
      <c r="H37" s="391">
        <f>$C$32*H19</f>
        <v>1.2129260959866437E-2</v>
      </c>
      <c r="I37" s="391">
        <f>$C$32*I19</f>
        <v>9.4892787143497498E-3</v>
      </c>
      <c r="J37" s="391">
        <f>$C$32*J19</f>
        <v>7.8432995873826319E-3</v>
      </c>
      <c r="K37" s="391">
        <f>$C$32*K19</f>
        <v>4.272155437291641E-3</v>
      </c>
      <c r="L37" s="391">
        <f>$C$32*L19</f>
        <v>1.5028333053768939E-4</v>
      </c>
      <c r="M37" s="392">
        <f>$C$32*M19</f>
        <v>9.8179442023759104E-5</v>
      </c>
      <c r="O37" s="350"/>
      <c r="P37" s="349"/>
      <c r="Q37" s="349"/>
      <c r="R37" s="349"/>
      <c r="S37" s="349"/>
      <c r="T37" s="349"/>
      <c r="U37" s="343"/>
    </row>
    <row r="38" spans="1:21" s="340" customFormat="1" ht="30" customHeight="1" x14ac:dyDescent="0.2">
      <c r="A38" s="399" t="s">
        <v>158</v>
      </c>
      <c r="B38" s="400">
        <f>B20*$B$33</f>
        <v>2.0938417611785693</v>
      </c>
      <c r="C38" s="400">
        <f>C20*$B$33</f>
        <v>1.9356922833484531</v>
      </c>
      <c r="D38" s="400">
        <f>D20*$B$33</f>
        <v>0.9290003721060065</v>
      </c>
      <c r="E38" s="400">
        <f>E20*$B$33</f>
        <v>0.7380730664783155</v>
      </c>
      <c r="F38" s="400">
        <f>F20*$B$33</f>
        <v>0.2204054648236464</v>
      </c>
      <c r="G38" s="400">
        <f>G20*$B$33</f>
        <v>0.2204054648236464</v>
      </c>
      <c r="H38" s="401">
        <f>$C$33*H20</f>
        <v>6.0456370076446345E-2</v>
      </c>
      <c r="I38" s="401">
        <f>$C$33*I20</f>
        <v>4.6111204901284418E-2</v>
      </c>
      <c r="J38" s="401">
        <f>$C$33*J20</f>
        <v>3.6075625217773015E-2</v>
      </c>
      <c r="K38" s="401">
        <f>$C$33*K20</f>
        <v>2.2954965673345248E-2</v>
      </c>
      <c r="L38" s="401">
        <f>$C$33*L20</f>
        <v>2.1806455758681207E-3</v>
      </c>
      <c r="M38" s="402">
        <f>$C$33*M20</f>
        <v>3.6963821990304975E-4</v>
      </c>
      <c r="O38" s="350"/>
      <c r="P38" s="349"/>
      <c r="Q38" s="349"/>
      <c r="R38" s="349"/>
      <c r="S38" s="349"/>
      <c r="T38" s="349"/>
      <c r="U38" s="343"/>
    </row>
    <row r="39" spans="1:21" s="340" customFormat="1" ht="30" customHeight="1" thickBot="1" x14ac:dyDescent="0.25">
      <c r="A39" s="417" t="s">
        <v>163</v>
      </c>
      <c r="B39" s="418">
        <f>SUM(B37:B38)</f>
        <v>2.5121743682995361</v>
      </c>
      <c r="C39" s="418">
        <f>SUM(C37:C38)</f>
        <v>2.3185875671118219</v>
      </c>
      <c r="D39" s="418">
        <f t="shared" ref="D39" si="8">SUM(D37:D38)</f>
        <v>1.1895605624050782</v>
      </c>
      <c r="E39" s="418">
        <f t="shared" ref="E39" si="9">SUM(E37:E38)</f>
        <v>0.9014806164487158</v>
      </c>
      <c r="F39" s="418">
        <f t="shared" ref="F39" si="10">SUM(F37:F38)</f>
        <v>0.22798749810074007</v>
      </c>
      <c r="G39" s="418">
        <f t="shared" ref="G39" si="11">SUM(G37:G38)</f>
        <v>0.22798749810074007</v>
      </c>
      <c r="H39" s="419">
        <f>SUM(H37:H38)</f>
        <v>7.2585631036312784E-2</v>
      </c>
      <c r="I39" s="419">
        <f t="shared" ref="I39:M39" si="12">SUM(I37:I38)</f>
        <v>5.5600483615634168E-2</v>
      </c>
      <c r="J39" s="419">
        <f t="shared" si="12"/>
        <v>4.3918924805155649E-2</v>
      </c>
      <c r="K39" s="419">
        <f t="shared" si="12"/>
        <v>2.7227121110636889E-2</v>
      </c>
      <c r="L39" s="419">
        <f t="shared" si="12"/>
        <v>2.3309289064058101E-3</v>
      </c>
      <c r="M39" s="420">
        <f t="shared" si="12"/>
        <v>4.6781766192680887E-4</v>
      </c>
      <c r="O39" s="350"/>
      <c r="P39" s="350"/>
      <c r="Q39" s="349"/>
      <c r="R39" s="349"/>
      <c r="S39" s="349"/>
      <c r="T39" s="349"/>
      <c r="U39" s="343"/>
    </row>
    <row r="40" spans="1:21" s="340" customFormat="1" x14ac:dyDescent="0.2"/>
    <row r="41" spans="1:21" s="340" customFormat="1" x14ac:dyDescent="0.2"/>
    <row r="42" spans="1:21" s="425" customFormat="1" ht="15.75" x14ac:dyDescent="0.25">
      <c r="A42" s="438" t="s">
        <v>193</v>
      </c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</row>
    <row r="43" spans="1:21" ht="13.5" thickBot="1" x14ac:dyDescent="0.25"/>
    <row r="44" spans="1:21" ht="13.5" thickBot="1" x14ac:dyDescent="0.25">
      <c r="A44" s="553" t="s">
        <v>179</v>
      </c>
      <c r="B44" s="1"/>
      <c r="C44" s="1"/>
    </row>
    <row r="45" spans="1:21" ht="18" customHeight="1" x14ac:dyDescent="0.2">
      <c r="A45" s="554" t="s">
        <v>176</v>
      </c>
      <c r="B45" s="555"/>
      <c r="C45" s="556">
        <v>150</v>
      </c>
    </row>
    <row r="46" spans="1:21" ht="18" customHeight="1" x14ac:dyDescent="0.2">
      <c r="A46" s="557" t="s">
        <v>177</v>
      </c>
      <c r="B46" s="558"/>
      <c r="C46" s="559">
        <v>28.799969999999998</v>
      </c>
    </row>
    <row r="47" spans="1:21" ht="18" customHeight="1" x14ac:dyDescent="0.2">
      <c r="A47" s="557" t="s">
        <v>178</v>
      </c>
      <c r="B47" s="558"/>
      <c r="C47" s="559">
        <f>C45*C46/60</f>
        <v>71.999925000000005</v>
      </c>
    </row>
    <row r="48" spans="1:21" ht="18" customHeight="1" x14ac:dyDescent="0.2">
      <c r="A48" s="557" t="s">
        <v>180</v>
      </c>
      <c r="B48" s="558"/>
      <c r="C48" s="560">
        <v>0.1</v>
      </c>
    </row>
    <row r="49" spans="1:21" ht="18" customHeight="1" thickBot="1" x14ac:dyDescent="0.25">
      <c r="A49" s="561" t="s">
        <v>181</v>
      </c>
      <c r="B49" s="562"/>
      <c r="C49" s="563">
        <f>C45*8760*C48</f>
        <v>131400</v>
      </c>
    </row>
    <row r="50" spans="1:21" ht="13.5" thickBot="1" x14ac:dyDescent="0.25">
      <c r="A50" s="396"/>
      <c r="D50" s="397"/>
    </row>
    <row r="51" spans="1:21" s="340" customFormat="1" ht="24.95" customHeight="1" x14ac:dyDescent="0.2">
      <c r="A51" s="501" t="s">
        <v>152</v>
      </c>
      <c r="B51" s="183" t="s">
        <v>194</v>
      </c>
      <c r="C51" s="183"/>
      <c r="D51" s="183"/>
      <c r="E51" s="183"/>
      <c r="F51" s="183"/>
      <c r="G51" s="183"/>
      <c r="H51" s="341" t="s">
        <v>195</v>
      </c>
      <c r="I51" s="341"/>
      <c r="J51" s="398"/>
      <c r="K51" s="398"/>
      <c r="L51" s="398"/>
      <c r="M51" s="342"/>
    </row>
    <row r="52" spans="1:21" s="340" customFormat="1" ht="24.95" customHeight="1" x14ac:dyDescent="0.2">
      <c r="A52" s="502"/>
      <c r="B52" s="185" t="s">
        <v>16</v>
      </c>
      <c r="C52" s="185" t="s">
        <v>17</v>
      </c>
      <c r="D52" s="185" t="s">
        <v>18</v>
      </c>
      <c r="E52" s="185" t="s">
        <v>19</v>
      </c>
      <c r="F52" s="185" t="s">
        <v>20</v>
      </c>
      <c r="G52" s="185" t="s">
        <v>21</v>
      </c>
      <c r="H52" s="185" t="s">
        <v>16</v>
      </c>
      <c r="I52" s="185" t="s">
        <v>17</v>
      </c>
      <c r="J52" s="185" t="s">
        <v>18</v>
      </c>
      <c r="K52" s="185" t="s">
        <v>19</v>
      </c>
      <c r="L52" s="185" t="s">
        <v>20</v>
      </c>
      <c r="M52" s="186" t="s">
        <v>21</v>
      </c>
    </row>
    <row r="53" spans="1:21" s="340" customFormat="1" ht="30" customHeight="1" x14ac:dyDescent="0.2">
      <c r="A53" s="381" t="s">
        <v>2</v>
      </c>
      <c r="B53" s="390">
        <f>'Va. Peajes transporte'!B81</f>
        <v>4.4626571585696979</v>
      </c>
      <c r="C53" s="390">
        <f>'Va. Peajes transporte'!C81</f>
        <v>4.1975892809113633</v>
      </c>
      <c r="D53" s="390">
        <f>'Va. Peajes transporte'!D81</f>
        <v>3.5093152558879246</v>
      </c>
      <c r="E53" s="390">
        <f>'Va. Peajes transporte'!E81</f>
        <v>2.1578153705785619</v>
      </c>
      <c r="F53" s="390">
        <f>'Va. Peajes transporte'!F81</f>
        <v>8.4399675390090953E-2</v>
      </c>
      <c r="G53" s="390">
        <f>'Va. Peajes transporte'!G81</f>
        <v>8.4399675390090953E-2</v>
      </c>
      <c r="H53" s="391">
        <f>'Va. Peajes transporte'!I81</f>
        <v>4.515719016646145E-3</v>
      </c>
      <c r="I53" s="391">
        <f>'Va. Peajes transporte'!J81</f>
        <v>3.5341244551440861E-3</v>
      </c>
      <c r="J53" s="391">
        <f>'Va. Peajes transporte'!K81</f>
        <v>2.6122746050621596E-3</v>
      </c>
      <c r="K53" s="391">
        <f>'Va. Peajes transporte'!L81</f>
        <v>1.4352521210714523E-3</v>
      </c>
      <c r="L53" s="391">
        <f>'Va. Peajes transporte'!M81</f>
        <v>5.0704165683643157E-5</v>
      </c>
      <c r="M53" s="392">
        <f>'Va. Peajes transporte'!N81</f>
        <v>3.4435963500823794E-5</v>
      </c>
      <c r="O53" s="350"/>
      <c r="P53" s="349"/>
      <c r="Q53" s="349"/>
      <c r="R53" s="349"/>
      <c r="S53" s="349"/>
      <c r="T53" s="349"/>
      <c r="U53" s="343"/>
    </row>
    <row r="54" spans="1:21" s="340" customFormat="1" ht="30" customHeight="1" x14ac:dyDescent="0.2">
      <c r="A54" s="399" t="s">
        <v>158</v>
      </c>
      <c r="B54" s="400">
        <f>'Vb. Peajes distribución'!B81</f>
        <v>12.015491358451024</v>
      </c>
      <c r="C54" s="400">
        <f>'Vb. Peajes distribución'!C81</f>
        <v>11.336116488015337</v>
      </c>
      <c r="D54" s="400">
        <f>'Vb. Peajes distribución'!D81</f>
        <v>9.1290644265463818</v>
      </c>
      <c r="E54" s="400">
        <f>'Vb. Peajes distribución'!E81</f>
        <v>6.6003060804010136</v>
      </c>
      <c r="F54" s="400">
        <f>'Vb. Peajes distribución'!F81</f>
        <v>0.26092268314872824</v>
      </c>
      <c r="G54" s="400">
        <f>'Vb. Peajes distribución'!G81</f>
        <v>0.26092268314872824</v>
      </c>
      <c r="H54" s="401">
        <f>'Vb. Peajes distribución'!I81</f>
        <v>1.2564260131598276E-2</v>
      </c>
      <c r="I54" s="401">
        <f>'Vb. Peajes distribución'!J81</f>
        <v>9.6299910085614476E-3</v>
      </c>
      <c r="J54" s="401">
        <f>'Vb. Peajes distribución'!K81</f>
        <v>6.8192812748981502E-3</v>
      </c>
      <c r="K54" s="401">
        <f>'Vb. Peajes distribución'!L81</f>
        <v>4.4424782648797168E-3</v>
      </c>
      <c r="L54" s="401">
        <f>'Vb. Peajes distribución'!M81</f>
        <v>4.2880081574100086E-4</v>
      </c>
      <c r="M54" s="402">
        <f>'Vb. Peajes distribución'!N81</f>
        <v>7.402350139568641E-5</v>
      </c>
      <c r="O54" s="350"/>
      <c r="P54" s="349"/>
      <c r="Q54" s="349"/>
      <c r="R54" s="349"/>
      <c r="S54" s="349"/>
      <c r="T54" s="349"/>
      <c r="U54" s="343"/>
    </row>
    <row r="55" spans="1:21" s="340" customFormat="1" ht="30" customHeight="1" thickBot="1" x14ac:dyDescent="0.25">
      <c r="A55" s="417" t="s">
        <v>163</v>
      </c>
      <c r="B55" s="418">
        <f>SUM(B53:B54)</f>
        <v>16.47814851702072</v>
      </c>
      <c r="C55" s="418">
        <f>SUM(C53:C54)</f>
        <v>15.533705768926701</v>
      </c>
      <c r="D55" s="418">
        <f t="shared" ref="D55" si="13">SUM(D53:D54)</f>
        <v>12.638379682434307</v>
      </c>
      <c r="E55" s="418">
        <f t="shared" ref="E55" si="14">SUM(E53:E54)</f>
        <v>8.7581214509795764</v>
      </c>
      <c r="F55" s="418">
        <f t="shared" ref="F55" si="15">SUM(F53:F54)</f>
        <v>0.34532235853881921</v>
      </c>
      <c r="G55" s="418">
        <f t="shared" ref="G55" si="16">SUM(G53:G54)</f>
        <v>0.34532235853881921</v>
      </c>
      <c r="H55" s="419">
        <f>SUM(H53:H54)</f>
        <v>1.7079979148244422E-2</v>
      </c>
      <c r="I55" s="419">
        <f t="shared" ref="I55" si="17">SUM(I53:I54)</f>
        <v>1.3164115463705533E-2</v>
      </c>
      <c r="J55" s="419">
        <f t="shared" ref="J55" si="18">SUM(J53:J54)</f>
        <v>9.4315558799603107E-3</v>
      </c>
      <c r="K55" s="419">
        <f t="shared" ref="K55" si="19">SUM(K53:K54)</f>
        <v>5.8777303859511689E-3</v>
      </c>
      <c r="L55" s="419">
        <f t="shared" ref="L55" si="20">SUM(L53:L54)</f>
        <v>4.7950498142464404E-4</v>
      </c>
      <c r="M55" s="420">
        <f t="shared" ref="M55" si="21">SUM(M53:M54)</f>
        <v>1.084594648965102E-4</v>
      </c>
      <c r="O55" s="350"/>
      <c r="P55" s="349"/>
      <c r="Q55" s="349"/>
      <c r="R55" s="349"/>
      <c r="S55" s="349"/>
      <c r="T55" s="349"/>
      <c r="U55" s="343"/>
    </row>
    <row r="56" spans="1:21" ht="13.5" thickBot="1" x14ac:dyDescent="0.25">
      <c r="A56" s="395"/>
    </row>
    <row r="57" spans="1:21" s="340" customFormat="1" ht="23.25" customHeight="1" x14ac:dyDescent="0.2">
      <c r="A57" s="501" t="s">
        <v>152</v>
      </c>
      <c r="B57" s="183" t="s">
        <v>196</v>
      </c>
      <c r="C57" s="183"/>
      <c r="D57" s="183"/>
      <c r="E57" s="499" t="s">
        <v>131</v>
      </c>
    </row>
    <row r="58" spans="1:21" s="340" customFormat="1" ht="38.25" x14ac:dyDescent="0.2">
      <c r="A58" s="502"/>
      <c r="B58" s="264" t="s">
        <v>186</v>
      </c>
      <c r="C58" s="264" t="s">
        <v>187</v>
      </c>
      <c r="D58" s="264" t="s">
        <v>188</v>
      </c>
      <c r="E58" s="500"/>
    </row>
    <row r="59" spans="1:21" ht="18" customHeight="1" x14ac:dyDescent="0.2">
      <c r="A59" s="383" t="s">
        <v>165</v>
      </c>
      <c r="B59" s="393">
        <f>$C$45*SUM(B53:G53)</f>
        <v>2174.4264625091596</v>
      </c>
      <c r="C59" s="393">
        <f>$C$49*AVERAGE(H53:M53)</f>
        <v>266.79697616367201</v>
      </c>
      <c r="D59" s="393">
        <f>SUM(B59:C59)</f>
        <v>2441.2234386728314</v>
      </c>
      <c r="E59" s="568">
        <f t="shared" ref="E59" si="22">B59/D59</f>
        <v>0.89071177511358168</v>
      </c>
      <c r="F59" s="263"/>
      <c r="G59" s="263"/>
      <c r="I59" s="263"/>
      <c r="J59" s="263"/>
      <c r="K59" s="263"/>
      <c r="L59" s="263"/>
    </row>
    <row r="60" spans="1:21" ht="18" customHeight="1" x14ac:dyDescent="0.2">
      <c r="A60" s="403" t="s">
        <v>166</v>
      </c>
      <c r="B60" s="569">
        <f>$C$45*SUM(B54:G54)</f>
        <v>5940.4235579566812</v>
      </c>
      <c r="C60" s="569">
        <f>$C$49*AVERAGE(H54:M54)</f>
        <v>743.69848643592672</v>
      </c>
      <c r="D60" s="569">
        <f>SUM(B60:C60)</f>
        <v>6684.1220443926077</v>
      </c>
      <c r="E60" s="570">
        <f>B60/D60</f>
        <v>0.88873654886959697</v>
      </c>
      <c r="F60" s="263"/>
      <c r="G60" s="263"/>
      <c r="I60" s="263"/>
      <c r="J60" s="263"/>
      <c r="K60" s="263"/>
      <c r="L60" s="263"/>
    </row>
    <row r="61" spans="1:21" ht="18" customHeight="1" thickBot="1" x14ac:dyDescent="0.25">
      <c r="A61" s="429" t="s">
        <v>4</v>
      </c>
      <c r="B61" s="571">
        <f>SUM(B59:B60)</f>
        <v>8114.8500204658412</v>
      </c>
      <c r="C61" s="571">
        <f t="shared" ref="C61" si="23">SUM(C59:C60)</f>
        <v>1010.4954625995988</v>
      </c>
      <c r="D61" s="571">
        <f t="shared" ref="D61" si="24">SUM(D59:D60)</f>
        <v>9125.3454830654391</v>
      </c>
      <c r="E61" s="572">
        <f>B61/D61</f>
        <v>0.8892649637786485</v>
      </c>
      <c r="F61" s="263"/>
      <c r="G61" s="263"/>
    </row>
    <row r="62" spans="1:21" s="340" customFormat="1" x14ac:dyDescent="0.2"/>
    <row r="63" spans="1:21" s="340" customFormat="1" ht="13.5" thickBot="1" x14ac:dyDescent="0.25"/>
    <row r="64" spans="1:21" s="340" customFormat="1" ht="36.75" customHeight="1" x14ac:dyDescent="0.2">
      <c r="A64" s="501" t="s">
        <v>152</v>
      </c>
      <c r="B64" s="183" t="s">
        <v>183</v>
      </c>
      <c r="C64" s="184"/>
    </row>
    <row r="65" spans="1:21" s="340" customFormat="1" ht="51" x14ac:dyDescent="0.2">
      <c r="A65" s="502"/>
      <c r="B65" s="264" t="s">
        <v>189</v>
      </c>
      <c r="C65" s="339" t="s">
        <v>190</v>
      </c>
    </row>
    <row r="66" spans="1:21" ht="18" customHeight="1" x14ac:dyDescent="0.2">
      <c r="A66" s="383" t="s">
        <v>165</v>
      </c>
      <c r="B66" s="573">
        <f>D59*20%/B59</f>
        <v>0.22453952623955872</v>
      </c>
      <c r="C66" s="574">
        <f>D59*80%/C59</f>
        <v>7.3200932747460028</v>
      </c>
      <c r="D66" s="340"/>
      <c r="E66" s="340"/>
      <c r="F66" s="263"/>
      <c r="G66" s="263"/>
      <c r="I66" s="263"/>
      <c r="J66" s="263"/>
      <c r="K66" s="263"/>
      <c r="L66" s="263"/>
    </row>
    <row r="67" spans="1:21" ht="18" customHeight="1" thickBot="1" x14ac:dyDescent="0.25">
      <c r="A67" s="387" t="s">
        <v>166</v>
      </c>
      <c r="B67" s="575">
        <f>D60*20%/B60</f>
        <v>0.22503856767720906</v>
      </c>
      <c r="C67" s="576">
        <f>D60*80%/C60</f>
        <v>7.1901418828217318</v>
      </c>
      <c r="D67" s="340"/>
      <c r="E67" s="340"/>
      <c r="F67" s="263"/>
      <c r="G67" s="263"/>
      <c r="I67" s="263"/>
      <c r="J67" s="263"/>
      <c r="K67" s="263"/>
      <c r="L67" s="263"/>
    </row>
    <row r="68" spans="1:21" s="340" customFormat="1" ht="13.5" thickBot="1" x14ac:dyDescent="0.25"/>
    <row r="69" spans="1:21" s="340" customFormat="1" ht="24.95" customHeight="1" x14ac:dyDescent="0.2">
      <c r="A69" s="501" t="s">
        <v>152</v>
      </c>
      <c r="B69" s="183" t="s">
        <v>191</v>
      </c>
      <c r="C69" s="183"/>
      <c r="D69" s="183"/>
      <c r="E69" s="183"/>
      <c r="F69" s="183"/>
      <c r="G69" s="183"/>
      <c r="H69" s="341" t="s">
        <v>192</v>
      </c>
      <c r="I69" s="341"/>
      <c r="J69" s="398"/>
      <c r="K69" s="398"/>
      <c r="L69" s="398"/>
      <c r="M69" s="342"/>
    </row>
    <row r="70" spans="1:21" s="340" customFormat="1" ht="24.95" customHeight="1" x14ac:dyDescent="0.2">
      <c r="A70" s="502"/>
      <c r="B70" s="185" t="s">
        <v>16</v>
      </c>
      <c r="C70" s="185" t="s">
        <v>17</v>
      </c>
      <c r="D70" s="185" t="s">
        <v>18</v>
      </c>
      <c r="E70" s="185" t="s">
        <v>19</v>
      </c>
      <c r="F70" s="185" t="s">
        <v>20</v>
      </c>
      <c r="G70" s="185" t="s">
        <v>21</v>
      </c>
      <c r="H70" s="185" t="s">
        <v>16</v>
      </c>
      <c r="I70" s="185" t="s">
        <v>17</v>
      </c>
      <c r="J70" s="185" t="s">
        <v>18</v>
      </c>
      <c r="K70" s="185" t="s">
        <v>19</v>
      </c>
      <c r="L70" s="185" t="s">
        <v>20</v>
      </c>
      <c r="M70" s="186" t="s">
        <v>21</v>
      </c>
    </row>
    <row r="71" spans="1:21" s="340" customFormat="1" ht="30" customHeight="1" x14ac:dyDescent="0.2">
      <c r="A71" s="381" t="s">
        <v>2</v>
      </c>
      <c r="B71" s="390">
        <f>$B$32*B53</f>
        <v>1.2723631363375432</v>
      </c>
      <c r="C71" s="390">
        <f>$B$32*C53</f>
        <v>1.196788745525996</v>
      </c>
      <c r="D71" s="390">
        <f>$B$32*D53</f>
        <v>1.0005526319234077</v>
      </c>
      <c r="E71" s="390">
        <f>$B$32*E53</f>
        <v>0.61522197090010167</v>
      </c>
      <c r="F71" s="390">
        <f>$B$32*F53</f>
        <v>2.4063474264203778E-2</v>
      </c>
      <c r="G71" s="390">
        <f>$B$32*G53</f>
        <v>2.4063474264203778E-2</v>
      </c>
      <c r="H71" s="391">
        <f>$C$32*H53</f>
        <v>1.2101431957150908E-2</v>
      </c>
      <c r="I71" s="391">
        <f>$C$32*I53</f>
        <v>9.4709096080546756E-3</v>
      </c>
      <c r="J71" s="391">
        <f>$C$32*J53</f>
        <v>7.0004938903465317E-3</v>
      </c>
      <c r="K71" s="391">
        <f>$C$32*K53</f>
        <v>3.8462547869956881E-3</v>
      </c>
      <c r="L71" s="391">
        <f>$C$32*L53</f>
        <v>1.3587936023097235E-4</v>
      </c>
      <c r="M71" s="392">
        <f>$C$32*M53</f>
        <v>9.2283082195325657E-5</v>
      </c>
      <c r="O71" s="350"/>
      <c r="P71" s="349"/>
      <c r="Q71" s="349"/>
      <c r="R71" s="349"/>
      <c r="S71" s="349"/>
      <c r="T71" s="349"/>
      <c r="U71" s="343"/>
    </row>
    <row r="72" spans="1:21" s="340" customFormat="1" ht="30" customHeight="1" x14ac:dyDescent="0.2">
      <c r="A72" s="399" t="s">
        <v>158</v>
      </c>
      <c r="B72" s="400">
        <f>B54*$B$33</f>
        <v>2.8836169639006579</v>
      </c>
      <c r="C72" s="400">
        <f>C54*$B$33</f>
        <v>2.7205727035543452</v>
      </c>
      <c r="D72" s="400">
        <f>D54*$B$33</f>
        <v>2.1908987539170286</v>
      </c>
      <c r="E72" s="400">
        <f>E54*$B$33</f>
        <v>1.5840179991469467</v>
      </c>
      <c r="F72" s="400">
        <f>F54*$B$33</f>
        <v>6.2619251510255741E-2</v>
      </c>
      <c r="G72" s="400">
        <f>G54*$B$33</f>
        <v>6.2619251510255741E-2</v>
      </c>
      <c r="H72" s="401">
        <f>$C$33*H54</f>
        <v>6.031900817455748E-2</v>
      </c>
      <c r="I72" s="401">
        <f>$C$33*I54</f>
        <v>4.6232050298407934E-2</v>
      </c>
      <c r="J72" s="401">
        <f>$C$33*J54</f>
        <v>3.2738281335859563E-2</v>
      </c>
      <c r="K72" s="401">
        <f>$C$33*K54</f>
        <v>2.1327629320620101E-2</v>
      </c>
      <c r="L72" s="401">
        <f>$C$33*L54</f>
        <v>2.058604298146454E-3</v>
      </c>
      <c r="M72" s="402">
        <f>$C$33*M54</f>
        <v>3.5537501922349867E-4</v>
      </c>
      <c r="O72" s="350"/>
      <c r="P72" s="349"/>
      <c r="Q72" s="349"/>
      <c r="R72" s="349"/>
      <c r="S72" s="349"/>
      <c r="T72" s="349"/>
      <c r="U72" s="343"/>
    </row>
    <row r="73" spans="1:21" s="340" customFormat="1" ht="30" customHeight="1" thickBot="1" x14ac:dyDescent="0.25">
      <c r="A73" s="417" t="s">
        <v>163</v>
      </c>
      <c r="B73" s="418">
        <f>SUM(B71:B72)</f>
        <v>4.1559801002382013</v>
      </c>
      <c r="C73" s="418">
        <f>SUM(C71:C72)</f>
        <v>3.9173614490803415</v>
      </c>
      <c r="D73" s="418">
        <f t="shared" ref="D73" si="25">SUM(D71:D72)</f>
        <v>3.1914513858404363</v>
      </c>
      <c r="E73" s="418">
        <f t="shared" ref="E73" si="26">SUM(E71:E72)</f>
        <v>2.1992399700470484</v>
      </c>
      <c r="F73" s="418">
        <f t="shared" ref="F73" si="27">SUM(F71:F72)</f>
        <v>8.6682725774459513E-2</v>
      </c>
      <c r="G73" s="418">
        <f t="shared" ref="G73" si="28">SUM(G71:G72)</f>
        <v>8.6682725774459513E-2</v>
      </c>
      <c r="H73" s="419">
        <f>SUM(H71:H72)</f>
        <v>7.2420440131708383E-2</v>
      </c>
      <c r="I73" s="419">
        <f t="shared" ref="I73" si="29">SUM(I71:I72)</f>
        <v>5.570295990646261E-2</v>
      </c>
      <c r="J73" s="419">
        <f t="shared" ref="J73" si="30">SUM(J71:J72)</f>
        <v>3.9738775226206093E-2</v>
      </c>
      <c r="K73" s="419">
        <f t="shared" ref="K73" si="31">SUM(K71:K72)</f>
        <v>2.5173884107615788E-2</v>
      </c>
      <c r="L73" s="419">
        <f t="shared" ref="L73" si="32">SUM(L71:L72)</f>
        <v>2.1944836583774265E-3</v>
      </c>
      <c r="M73" s="420">
        <f t="shared" ref="M73" si="33">SUM(M71:M72)</f>
        <v>4.4765810141882432E-4</v>
      </c>
      <c r="O73" s="350"/>
      <c r="P73" s="350"/>
      <c r="Q73" s="349"/>
      <c r="R73" s="349"/>
      <c r="S73" s="349"/>
      <c r="T73" s="349"/>
      <c r="U73" s="343"/>
    </row>
  </sheetData>
  <mergeCells count="10">
    <mergeCell ref="A64:A65"/>
    <mergeCell ref="A69:A70"/>
    <mergeCell ref="A17:A18"/>
    <mergeCell ref="A51:A52"/>
    <mergeCell ref="A57:A58"/>
    <mergeCell ref="E57:E58"/>
    <mergeCell ref="A23:A24"/>
    <mergeCell ref="E23:E24"/>
    <mergeCell ref="A30:A31"/>
    <mergeCell ref="A35:A3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sheetPr>
    <pageSetUpPr fitToPage="1"/>
  </sheetPr>
  <dimension ref="A1:J72"/>
  <sheetViews>
    <sheetView showGridLines="0" workbookViewId="0"/>
  </sheetViews>
  <sheetFormatPr baseColWidth="10" defaultRowHeight="12.75" x14ac:dyDescent="0.2"/>
  <cols>
    <col min="1" max="1" width="21.42578125" customWidth="1"/>
    <col min="11" max="11" width="2.42578125" customWidth="1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4" customFormat="1" ht="30" customHeight="1" x14ac:dyDescent="0.2">
      <c r="A6" s="412" t="s">
        <v>198</v>
      </c>
      <c r="B6" s="412"/>
    </row>
    <row r="7" spans="1:10" ht="5.0999999999999996" customHeight="1" x14ac:dyDescent="0.2"/>
    <row r="8" spans="1:10" s="425" customFormat="1" ht="15.75" x14ac:dyDescent="0.25">
      <c r="A8" s="430" t="s">
        <v>81</v>
      </c>
      <c r="B8" s="431"/>
      <c r="C8" s="431"/>
      <c r="D8" s="431"/>
      <c r="E8" s="431"/>
      <c r="F8" s="431"/>
      <c r="G8" s="431"/>
      <c r="H8" s="431"/>
      <c r="I8" s="431"/>
      <c r="J8" s="431"/>
    </row>
    <row r="9" spans="1:10" ht="13.5" thickBot="1" x14ac:dyDescent="0.25"/>
    <row r="10" spans="1:10" ht="27.75" customHeight="1" thickBot="1" x14ac:dyDescent="0.25">
      <c r="A10" s="1"/>
      <c r="B10" s="1"/>
      <c r="C10" s="534" t="s">
        <v>46</v>
      </c>
      <c r="D10" s="535"/>
      <c r="E10" s="535"/>
      <c r="F10" s="536"/>
      <c r="G10" s="1"/>
      <c r="H10" s="1"/>
      <c r="I10" s="1"/>
      <c r="J10" s="1"/>
    </row>
    <row r="11" spans="1:10" ht="26.25" thickBot="1" x14ac:dyDescent="0.25">
      <c r="A11" s="530" t="s">
        <v>56</v>
      </c>
      <c r="B11" s="531" t="s">
        <v>112</v>
      </c>
      <c r="C11" s="532" t="s">
        <v>75</v>
      </c>
      <c r="D11" s="532" t="s">
        <v>47</v>
      </c>
      <c r="E11" s="532" t="s">
        <v>48</v>
      </c>
      <c r="F11" s="532" t="s">
        <v>49</v>
      </c>
      <c r="G11" s="531" t="s">
        <v>50</v>
      </c>
      <c r="H11" s="531" t="s">
        <v>51</v>
      </c>
      <c r="I11" s="531" t="s">
        <v>10</v>
      </c>
      <c r="J11" s="533" t="s">
        <v>52</v>
      </c>
    </row>
    <row r="12" spans="1:10" x14ac:dyDescent="0.2">
      <c r="A12" s="537" t="s">
        <v>45</v>
      </c>
      <c r="B12" s="538">
        <v>30798.347999999994</v>
      </c>
      <c r="C12" s="538">
        <v>13004.393768146976</v>
      </c>
      <c r="D12" s="538">
        <v>7910.9804796353556</v>
      </c>
      <c r="E12" s="538">
        <v>6587.0765974333572</v>
      </c>
      <c r="F12" s="538">
        <v>0</v>
      </c>
      <c r="G12" s="538">
        <v>2675.2950000000001</v>
      </c>
      <c r="H12" s="539">
        <f>G12/$G$17</f>
        <v>7.1757344761386219E-2</v>
      </c>
      <c r="I12" s="538">
        <v>620.60215478430541</v>
      </c>
      <c r="J12" s="540">
        <f>SUM(B12:B12)/SUM(C12:G12)-1</f>
        <v>2.0564894341924322E-2</v>
      </c>
    </row>
    <row r="13" spans="1:10" x14ac:dyDescent="0.2">
      <c r="A13" s="541" t="s">
        <v>44</v>
      </c>
      <c r="B13" s="542">
        <v>4928.7400000000007</v>
      </c>
      <c r="C13" s="542">
        <v>0</v>
      </c>
      <c r="D13" s="542">
        <v>9858.726539246818</v>
      </c>
      <c r="E13" s="542">
        <v>6476.2270836322305</v>
      </c>
      <c r="F13" s="542">
        <v>0</v>
      </c>
      <c r="G13" s="542">
        <v>1124.4979999999998</v>
      </c>
      <c r="H13" s="543">
        <f>G13/$G$17</f>
        <v>3.0161530100227922E-2</v>
      </c>
      <c r="I13" s="542">
        <v>473.6821452679265</v>
      </c>
      <c r="J13" s="544">
        <f>SUM(B13:B13,C17)/SUM(C13:G13)-1</f>
        <v>2.7130413686487831E-2</v>
      </c>
    </row>
    <row r="14" spans="1:10" x14ac:dyDescent="0.2">
      <c r="A14" s="541" t="s">
        <v>43</v>
      </c>
      <c r="B14" s="542">
        <v>5094.6969999999992</v>
      </c>
      <c r="C14" s="542">
        <v>0</v>
      </c>
      <c r="D14" s="542">
        <v>0</v>
      </c>
      <c r="E14" s="542">
        <v>19410.147551323527</v>
      </c>
      <c r="F14" s="542">
        <v>0.91011537506254725</v>
      </c>
      <c r="G14" s="542">
        <v>2965.3557796000005</v>
      </c>
      <c r="H14" s="543">
        <f>G14/$G$17</f>
        <v>7.9537418122833714E-2</v>
      </c>
      <c r="I14" s="542">
        <v>487.99151158358211</v>
      </c>
      <c r="J14" s="544">
        <f>SUM(B14:B14,D17)/SUM(C14:G14)-1</f>
        <v>2.1808256884183752E-2</v>
      </c>
    </row>
    <row r="15" spans="1:10" x14ac:dyDescent="0.2">
      <c r="A15" s="541" t="s">
        <v>42</v>
      </c>
      <c r="B15" s="542">
        <v>1016.3520030000003</v>
      </c>
      <c r="C15" s="542">
        <v>0</v>
      </c>
      <c r="D15" s="542">
        <v>0</v>
      </c>
      <c r="E15" s="542">
        <v>0</v>
      </c>
      <c r="F15" s="542">
        <v>23648.340703781709</v>
      </c>
      <c r="G15" s="542">
        <v>9008.284220399999</v>
      </c>
      <c r="H15" s="543">
        <f>G15/$G$17</f>
        <v>0.24162215999050493</v>
      </c>
      <c r="I15" s="542">
        <v>833.17531120739864</v>
      </c>
      <c r="J15" s="544">
        <f>SUM(B15:B15,E17)/SUM(C15:G15)-1</f>
        <v>2.5513301302317215E-2</v>
      </c>
    </row>
    <row r="16" spans="1:10" ht="13.5" thickBot="1" x14ac:dyDescent="0.25">
      <c r="A16" s="545" t="s">
        <v>55</v>
      </c>
      <c r="B16" s="546">
        <v>4.1280000000000285</v>
      </c>
      <c r="C16" s="546">
        <v>0</v>
      </c>
      <c r="D16" s="546">
        <v>0</v>
      </c>
      <c r="E16" s="546">
        <v>0</v>
      </c>
      <c r="F16" s="546">
        <v>0</v>
      </c>
      <c r="G16" s="546">
        <v>21509.091999999997</v>
      </c>
      <c r="H16" s="547">
        <f>G16/$G$17</f>
        <v>0.57692154702504728</v>
      </c>
      <c r="I16" s="546">
        <v>2144.2628801567807</v>
      </c>
      <c r="J16" s="548">
        <f>SUM(B16:B16,F17)/SUM(C16:G16)-1</f>
        <v>9.9692112486978735E-2</v>
      </c>
    </row>
    <row r="17" spans="1:10" ht="13.5" thickBot="1" x14ac:dyDescent="0.25">
      <c r="A17" s="432" t="s">
        <v>4</v>
      </c>
      <c r="B17" s="549">
        <f t="shared" ref="B17:I17" si="0">SUM(B12:B16)</f>
        <v>41842.265002999993</v>
      </c>
      <c r="C17" s="549">
        <f t="shared" si="0"/>
        <v>13004.393768146976</v>
      </c>
      <c r="D17" s="549">
        <f t="shared" si="0"/>
        <v>17769.707018882174</v>
      </c>
      <c r="E17" s="549">
        <f t="shared" si="0"/>
        <v>32473.451232389114</v>
      </c>
      <c r="F17" s="549">
        <f t="shared" si="0"/>
        <v>23649.250819156772</v>
      </c>
      <c r="G17" s="549">
        <f t="shared" si="0"/>
        <v>37282.524999999994</v>
      </c>
      <c r="H17" s="550">
        <f>SUM(H12:H16)</f>
        <v>1</v>
      </c>
      <c r="I17" s="549">
        <f t="shared" si="0"/>
        <v>4559.7140029999937</v>
      </c>
      <c r="J17" s="551"/>
    </row>
    <row r="19" spans="1:10" s="425" customFormat="1" ht="15.75" x14ac:dyDescent="0.25">
      <c r="A19" s="430" t="s">
        <v>82</v>
      </c>
      <c r="B19" s="431"/>
      <c r="C19" s="431"/>
      <c r="D19" s="431"/>
      <c r="E19" s="431"/>
      <c r="F19" s="431"/>
      <c r="G19" s="431"/>
      <c r="H19" s="431"/>
      <c r="I19" s="431"/>
      <c r="J19" s="431"/>
    </row>
    <row r="20" spans="1:10" ht="13.5" thickBot="1" x14ac:dyDescent="0.25"/>
    <row r="21" spans="1:10" ht="27.75" customHeight="1" thickBot="1" x14ac:dyDescent="0.25">
      <c r="A21" s="1"/>
      <c r="B21" s="1"/>
      <c r="C21" s="534" t="s">
        <v>46</v>
      </c>
      <c r="D21" s="535"/>
      <c r="E21" s="535"/>
      <c r="F21" s="536"/>
      <c r="G21" s="1"/>
      <c r="H21" s="1"/>
      <c r="I21" s="1"/>
      <c r="J21" s="1"/>
    </row>
    <row r="22" spans="1:10" ht="26.25" thickBot="1" x14ac:dyDescent="0.25">
      <c r="A22" s="530" t="s">
        <v>56</v>
      </c>
      <c r="B22" s="531" t="s">
        <v>112</v>
      </c>
      <c r="C22" s="532" t="s">
        <v>75</v>
      </c>
      <c r="D22" s="532" t="s">
        <v>47</v>
      </c>
      <c r="E22" s="532" t="s">
        <v>48</v>
      </c>
      <c r="F22" s="532" t="s">
        <v>49</v>
      </c>
      <c r="G22" s="531" t="s">
        <v>50</v>
      </c>
      <c r="H22" s="531" t="s">
        <v>51</v>
      </c>
      <c r="I22" s="531" t="s">
        <v>10</v>
      </c>
      <c r="J22" s="533" t="s">
        <v>52</v>
      </c>
    </row>
    <row r="23" spans="1:10" x14ac:dyDescent="0.2">
      <c r="A23" s="537" t="s">
        <v>45</v>
      </c>
      <c r="B23" s="538">
        <v>25824.380999999998</v>
      </c>
      <c r="C23" s="538">
        <v>10135.453492837303</v>
      </c>
      <c r="D23" s="538">
        <v>6336.9225982183307</v>
      </c>
      <c r="E23" s="538">
        <v>5938.8361285480496</v>
      </c>
      <c r="F23" s="538">
        <v>0</v>
      </c>
      <c r="G23" s="538">
        <v>2847.3360000000002</v>
      </c>
      <c r="H23" s="539">
        <f>G23/$G$28</f>
        <v>8.0483022050791608E-2</v>
      </c>
      <c r="I23" s="538">
        <v>565.83278039631296</v>
      </c>
      <c r="J23" s="540">
        <f>SUM(B23:B23)/SUM(C23:G23)-1</f>
        <v>2.2401635100989692E-2</v>
      </c>
    </row>
    <row r="24" spans="1:10" x14ac:dyDescent="0.2">
      <c r="A24" s="541" t="s">
        <v>44</v>
      </c>
      <c r="B24" s="542">
        <v>6191.8789999999999</v>
      </c>
      <c r="C24" s="542">
        <v>0</v>
      </c>
      <c r="D24" s="542">
        <v>8860.2508814052908</v>
      </c>
      <c r="E24" s="542">
        <v>5856.1165352937369</v>
      </c>
      <c r="F24" s="542">
        <v>0</v>
      </c>
      <c r="G24" s="542">
        <v>1156.846</v>
      </c>
      <c r="H24" s="543">
        <f>G24/$G$28</f>
        <v>3.2699499506686269E-2</v>
      </c>
      <c r="I24" s="542">
        <v>454.1190761382756</v>
      </c>
      <c r="J24" s="544">
        <f>SUM(B24:B24,C28)/SUM(C24:G24)-1</f>
        <v>2.8609145748681897E-2</v>
      </c>
    </row>
    <row r="25" spans="1:10" x14ac:dyDescent="0.2">
      <c r="A25" s="541" t="s">
        <v>43</v>
      </c>
      <c r="B25" s="542">
        <v>6204.0930000000008</v>
      </c>
      <c r="C25" s="542">
        <v>0</v>
      </c>
      <c r="D25" s="542">
        <v>0</v>
      </c>
      <c r="E25" s="542">
        <v>17959.624701622735</v>
      </c>
      <c r="F25" s="542">
        <v>1.050753115097024</v>
      </c>
      <c r="G25" s="542">
        <v>3026.0009977999998</v>
      </c>
      <c r="H25" s="543">
        <f>G25/$G$28</f>
        <v>8.5533180851032245E-2</v>
      </c>
      <c r="I25" s="542">
        <v>414.59002708579459</v>
      </c>
      <c r="J25" s="544">
        <f>SUM(B25:B25,D28)/SUM(C25:G25)-1</f>
        <v>1.9754915840218823E-2</v>
      </c>
    </row>
    <row r="26" spans="1:10" x14ac:dyDescent="0.2">
      <c r="A26" s="541" t="s">
        <v>42</v>
      </c>
      <c r="B26" s="542">
        <v>1368.7189980000014</v>
      </c>
      <c r="C26" s="542">
        <v>0</v>
      </c>
      <c r="D26" s="542">
        <v>0</v>
      </c>
      <c r="E26" s="542">
        <v>0</v>
      </c>
      <c r="F26" s="542">
        <v>21557.850744847521</v>
      </c>
      <c r="G26" s="542">
        <v>8774.2480022000018</v>
      </c>
      <c r="H26" s="543">
        <f>G26/$G$28</f>
        <v>0.24801358021679804</v>
      </c>
      <c r="I26" s="542">
        <v>791.19761641699745</v>
      </c>
      <c r="J26" s="544">
        <f>SUM(B26:B26,E28)/SUM(C26:G26)-1</f>
        <v>2.6084499559860364E-2</v>
      </c>
    </row>
    <row r="27" spans="1:10" ht="13.5" thickBot="1" x14ac:dyDescent="0.25">
      <c r="A27" s="545" t="s">
        <v>55</v>
      </c>
      <c r="B27" s="546">
        <v>10.477000000000034</v>
      </c>
      <c r="C27" s="546">
        <v>0</v>
      </c>
      <c r="D27" s="546">
        <v>0</v>
      </c>
      <c r="E27" s="546">
        <v>0</v>
      </c>
      <c r="F27" s="546">
        <v>0</v>
      </c>
      <c r="G27" s="546">
        <v>19573.663999999997</v>
      </c>
      <c r="H27" s="547">
        <f>G27/$G$28</f>
        <v>0.5532707173746918</v>
      </c>
      <c r="I27" s="546">
        <v>1995.7144979626171</v>
      </c>
      <c r="J27" s="548">
        <f>SUM(B27:B27,F28)/SUM(C27:G27)-1</f>
        <v>0.10195916809252581</v>
      </c>
    </row>
    <row r="28" spans="1:10" ht="13.5" thickBot="1" x14ac:dyDescent="0.25">
      <c r="A28" s="432" t="s">
        <v>4</v>
      </c>
      <c r="B28" s="549">
        <f t="shared" ref="B28:I28" si="1">SUM(B23:B27)</f>
        <v>39599.548998000006</v>
      </c>
      <c r="C28" s="549">
        <f t="shared" si="1"/>
        <v>10135.453492837303</v>
      </c>
      <c r="D28" s="549">
        <f t="shared" si="1"/>
        <v>15197.173479623621</v>
      </c>
      <c r="E28" s="549">
        <f t="shared" si="1"/>
        <v>29754.577365464524</v>
      </c>
      <c r="F28" s="549">
        <f t="shared" si="1"/>
        <v>21558.901497962619</v>
      </c>
      <c r="G28" s="549">
        <f t="shared" si="1"/>
        <v>35378.095000000001</v>
      </c>
      <c r="H28" s="550">
        <f t="shared" si="1"/>
        <v>1</v>
      </c>
      <c r="I28" s="549">
        <f t="shared" si="1"/>
        <v>4221.4539979999981</v>
      </c>
      <c r="J28" s="551"/>
    </row>
    <row r="30" spans="1:10" s="425" customFormat="1" ht="15.75" x14ac:dyDescent="0.25">
      <c r="A30" s="430" t="s">
        <v>83</v>
      </c>
      <c r="B30" s="431"/>
      <c r="C30" s="431"/>
      <c r="D30" s="431"/>
      <c r="E30" s="431"/>
      <c r="F30" s="431"/>
      <c r="G30" s="431"/>
      <c r="H30" s="431"/>
      <c r="I30" s="431"/>
      <c r="J30" s="431"/>
    </row>
    <row r="31" spans="1:10" ht="13.5" thickBot="1" x14ac:dyDescent="0.25"/>
    <row r="32" spans="1:10" ht="27.75" customHeight="1" thickBot="1" x14ac:dyDescent="0.25">
      <c r="A32" s="1"/>
      <c r="B32" s="1"/>
      <c r="C32" s="534" t="s">
        <v>46</v>
      </c>
      <c r="D32" s="535"/>
      <c r="E32" s="535"/>
      <c r="F32" s="536"/>
      <c r="G32" s="1"/>
      <c r="H32" s="1"/>
      <c r="I32" s="1"/>
      <c r="J32" s="1"/>
    </row>
    <row r="33" spans="1:10" ht="26.25" thickBot="1" x14ac:dyDescent="0.25">
      <c r="A33" s="530" t="s">
        <v>56</v>
      </c>
      <c r="B33" s="531" t="s">
        <v>112</v>
      </c>
      <c r="C33" s="532" t="s">
        <v>75</v>
      </c>
      <c r="D33" s="532" t="s">
        <v>47</v>
      </c>
      <c r="E33" s="532" t="s">
        <v>48</v>
      </c>
      <c r="F33" s="532" t="s">
        <v>49</v>
      </c>
      <c r="G33" s="531" t="s">
        <v>50</v>
      </c>
      <c r="H33" s="531" t="s">
        <v>51</v>
      </c>
      <c r="I33" s="531" t="s">
        <v>10</v>
      </c>
      <c r="J33" s="533" t="s">
        <v>52</v>
      </c>
    </row>
    <row r="34" spans="1:10" x14ac:dyDescent="0.2">
      <c r="A34" s="537" t="s">
        <v>45</v>
      </c>
      <c r="B34" s="538">
        <v>24619.315000000002</v>
      </c>
      <c r="C34" s="538">
        <v>10349.783712643795</v>
      </c>
      <c r="D34" s="538">
        <v>6492.8425329893835</v>
      </c>
      <c r="E34" s="538">
        <v>5426.1908223692526</v>
      </c>
      <c r="F34" s="538">
        <v>0</v>
      </c>
      <c r="G34" s="538">
        <v>1846.67</v>
      </c>
      <c r="H34" s="539">
        <f>G34/$G$39</f>
        <v>5.597366833654812E-2</v>
      </c>
      <c r="I34" s="538">
        <v>503.82793199757316</v>
      </c>
      <c r="J34" s="540">
        <f>SUM(B34:B34)/SUM(C34:G34)-1</f>
        <v>2.0892297575281882E-2</v>
      </c>
    </row>
    <row r="35" spans="1:10" x14ac:dyDescent="0.2">
      <c r="A35" s="541" t="s">
        <v>44</v>
      </c>
      <c r="B35" s="542">
        <v>3847.6079999999997</v>
      </c>
      <c r="C35" s="542">
        <v>0</v>
      </c>
      <c r="D35" s="542">
        <v>7983.6704233547343</v>
      </c>
      <c r="E35" s="542">
        <v>4640.9388753647454</v>
      </c>
      <c r="F35" s="542">
        <v>0</v>
      </c>
      <c r="G35" s="542">
        <v>1180.2000000000003</v>
      </c>
      <c r="H35" s="543">
        <f>G35/$G$39</f>
        <v>3.577256541276682E-2</v>
      </c>
      <c r="I35" s="542">
        <v>392.582413924317</v>
      </c>
      <c r="J35" s="544">
        <f>SUM(B35:B35,C39)/SUM(C35:G35)-1</f>
        <v>2.8438090337164601E-2</v>
      </c>
    </row>
    <row r="36" spans="1:10" x14ac:dyDescent="0.2">
      <c r="A36" s="541" t="s">
        <v>43</v>
      </c>
      <c r="B36" s="542">
        <v>4658.9449999999943</v>
      </c>
      <c r="C36" s="542">
        <v>0</v>
      </c>
      <c r="D36" s="542">
        <v>0</v>
      </c>
      <c r="E36" s="542">
        <v>16074.490513706489</v>
      </c>
      <c r="F36" s="542">
        <v>0.51537852308911991</v>
      </c>
      <c r="G36" s="542">
        <v>2694.3223844000004</v>
      </c>
      <c r="H36" s="543">
        <f>G36/$G$39</f>
        <v>8.1666517318277287E-2</v>
      </c>
      <c r="I36" s="542">
        <v>366.12967971453685</v>
      </c>
      <c r="J36" s="544">
        <f>SUM(B36:B36,D39)/SUM(C36:G36)-1</f>
        <v>1.950680782595815E-2</v>
      </c>
    </row>
    <row r="37" spans="1:10" x14ac:dyDescent="0.2">
      <c r="A37" s="541" t="s">
        <v>42</v>
      </c>
      <c r="B37" s="542">
        <v>2281.4650010000046</v>
      </c>
      <c r="C37" s="542">
        <v>0</v>
      </c>
      <c r="D37" s="542">
        <v>0</v>
      </c>
      <c r="E37" s="542">
        <v>0</v>
      </c>
      <c r="F37" s="542">
        <v>17415.850250800348</v>
      </c>
      <c r="G37" s="542">
        <v>10271.330615600002</v>
      </c>
      <c r="H37" s="543">
        <f>G37/$G$39</f>
        <v>0.31133015278995546</v>
      </c>
      <c r="I37" s="542">
        <v>735.90434604014547</v>
      </c>
      <c r="J37" s="544">
        <f>SUM(B37:B37,E39)/SUM(C37:G37)-1</f>
        <v>2.6579244365510624E-2</v>
      </c>
    </row>
    <row r="38" spans="1:10" ht="13.5" thickBot="1" x14ac:dyDescent="0.25">
      <c r="A38" s="545" t="s">
        <v>55</v>
      </c>
      <c r="B38" s="546">
        <v>815.42699399999208</v>
      </c>
      <c r="C38" s="546">
        <v>0</v>
      </c>
      <c r="D38" s="546">
        <v>0</v>
      </c>
      <c r="E38" s="546">
        <v>0</v>
      </c>
      <c r="F38" s="546">
        <v>0</v>
      </c>
      <c r="G38" s="546">
        <v>16999.240000000002</v>
      </c>
      <c r="H38" s="547">
        <f>G38/$G$39</f>
        <v>0.51525709614245219</v>
      </c>
      <c r="I38" s="546">
        <v>1232.5526233234227</v>
      </c>
      <c r="J38" s="548">
        <f>SUM(B38:B38,F39)/SUM(C38:G38)-1</f>
        <v>7.2506336949382799E-2</v>
      </c>
    </row>
    <row r="39" spans="1:10" ht="13.5" thickBot="1" x14ac:dyDescent="0.25">
      <c r="A39" s="432" t="s">
        <v>4</v>
      </c>
      <c r="B39" s="549">
        <f t="shared" ref="B39:I39" si="2">SUM(B34:B38)</f>
        <v>36222.759994999993</v>
      </c>
      <c r="C39" s="549">
        <f t="shared" si="2"/>
        <v>10349.783712643795</v>
      </c>
      <c r="D39" s="549">
        <f t="shared" si="2"/>
        <v>14476.512956344119</v>
      </c>
      <c r="E39" s="549">
        <f t="shared" si="2"/>
        <v>26141.620211440488</v>
      </c>
      <c r="F39" s="549">
        <f t="shared" si="2"/>
        <v>17416.365629323438</v>
      </c>
      <c r="G39" s="549">
        <f t="shared" si="2"/>
        <v>32991.763000000006</v>
      </c>
      <c r="H39" s="550">
        <f t="shared" si="2"/>
        <v>0.99999999999999989</v>
      </c>
      <c r="I39" s="549">
        <f t="shared" si="2"/>
        <v>3230.9969949999954</v>
      </c>
      <c r="J39" s="551"/>
    </row>
    <row r="41" spans="1:10" s="425" customFormat="1" ht="15.75" x14ac:dyDescent="0.25">
      <c r="A41" s="430" t="s">
        <v>84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0" ht="13.5" thickBot="1" x14ac:dyDescent="0.25"/>
    <row r="43" spans="1:10" ht="27.75" customHeight="1" thickBot="1" x14ac:dyDescent="0.25">
      <c r="A43" s="1"/>
      <c r="B43" s="1"/>
      <c r="C43" s="534" t="s">
        <v>46</v>
      </c>
      <c r="D43" s="535"/>
      <c r="E43" s="535"/>
      <c r="F43" s="536"/>
      <c r="G43" s="1"/>
      <c r="H43" s="1"/>
      <c r="I43" s="1"/>
      <c r="J43" s="1"/>
    </row>
    <row r="44" spans="1:10" ht="26.25" thickBot="1" x14ac:dyDescent="0.25">
      <c r="A44" s="530" t="s">
        <v>56</v>
      </c>
      <c r="B44" s="531" t="s">
        <v>112</v>
      </c>
      <c r="C44" s="532" t="s">
        <v>75</v>
      </c>
      <c r="D44" s="532" t="s">
        <v>47</v>
      </c>
      <c r="E44" s="532" t="s">
        <v>48</v>
      </c>
      <c r="F44" s="532" t="s">
        <v>49</v>
      </c>
      <c r="G44" s="531" t="s">
        <v>50</v>
      </c>
      <c r="H44" s="531" t="s">
        <v>51</v>
      </c>
      <c r="I44" s="531" t="s">
        <v>10</v>
      </c>
      <c r="J44" s="533" t="s">
        <v>52</v>
      </c>
    </row>
    <row r="45" spans="1:10" x14ac:dyDescent="0.2">
      <c r="A45" s="537" t="s">
        <v>45</v>
      </c>
      <c r="B45" s="538">
        <v>28091.872999999992</v>
      </c>
      <c r="C45" s="538">
        <v>11346.743211065152</v>
      </c>
      <c r="D45" s="538">
        <v>7126.7468814163503</v>
      </c>
      <c r="E45" s="538">
        <v>6410.4546084617123</v>
      </c>
      <c r="F45" s="538">
        <v>0</v>
      </c>
      <c r="G45" s="538">
        <v>2701.5860000000002</v>
      </c>
      <c r="H45" s="539">
        <f>G45/$G$50</f>
        <v>7.3655574323974321E-2</v>
      </c>
      <c r="I45" s="538">
        <v>506.34229905678103</v>
      </c>
      <c r="J45" s="540">
        <f>SUM(B45:B45)/SUM(C45:G45)-1</f>
        <v>1.8355358269017019E-2</v>
      </c>
    </row>
    <row r="46" spans="1:10" x14ac:dyDescent="0.2">
      <c r="A46" s="541" t="s">
        <v>44</v>
      </c>
      <c r="B46" s="542">
        <v>4012.6639999999998</v>
      </c>
      <c r="C46" s="542">
        <v>0</v>
      </c>
      <c r="D46" s="542">
        <v>8273.3001445143236</v>
      </c>
      <c r="E46" s="542">
        <v>5525.6486459063999</v>
      </c>
      <c r="F46" s="542">
        <v>0</v>
      </c>
      <c r="G46" s="542">
        <v>1177.0770000000002</v>
      </c>
      <c r="H46" s="543">
        <f>G46/$G$50</f>
        <v>3.209162412691683E-2</v>
      </c>
      <c r="I46" s="542">
        <v>383.38142064442741</v>
      </c>
      <c r="J46" s="544">
        <f>SUM(B46:B46,C50)/SUM(C46:G46)-1</f>
        <v>2.5599676844149988E-2</v>
      </c>
    </row>
    <row r="47" spans="1:10" x14ac:dyDescent="0.2">
      <c r="A47" s="541" t="s">
        <v>43</v>
      </c>
      <c r="B47" s="542">
        <v>4981.193000000002</v>
      </c>
      <c r="C47" s="542">
        <v>0</v>
      </c>
      <c r="D47" s="542">
        <v>0</v>
      </c>
      <c r="E47" s="542">
        <v>17040.934283480561</v>
      </c>
      <c r="F47" s="542">
        <v>0.84547166194018675</v>
      </c>
      <c r="G47" s="542">
        <v>2916.8043318000005</v>
      </c>
      <c r="H47" s="543">
        <f>G47/$G$50</f>
        <v>7.9523249768611914E-2</v>
      </c>
      <c r="I47" s="542">
        <v>421.17004540865543</v>
      </c>
      <c r="J47" s="544">
        <f>SUM(B47:B47,D50)/SUM(C47:G47)-1</f>
        <v>2.1176649463059194E-2</v>
      </c>
    </row>
    <row r="48" spans="1:10" x14ac:dyDescent="0.2">
      <c r="A48" s="541" t="s">
        <v>42</v>
      </c>
      <c r="B48" s="542">
        <v>2349.8670010000019</v>
      </c>
      <c r="C48" s="542">
        <v>0</v>
      </c>
      <c r="D48" s="542">
        <v>0</v>
      </c>
      <c r="E48" s="542">
        <v>9.795885420350098</v>
      </c>
      <c r="F48" s="542">
        <v>19370.658935998639</v>
      </c>
      <c r="G48" s="542">
        <v>11096.111668199999</v>
      </c>
      <c r="H48" s="543">
        <f>G48/$G$50</f>
        <v>0.30252247297854806</v>
      </c>
      <c r="I48" s="542">
        <v>861.61982822955497</v>
      </c>
      <c r="J48" s="544">
        <f>SUM(B48:B48,E50)/SUM(C48:G48)-1</f>
        <v>2.8222796519516535E-2</v>
      </c>
    </row>
    <row r="49" spans="1:10" ht="13.5" thickBot="1" x14ac:dyDescent="0.25">
      <c r="A49" s="545" t="s">
        <v>55</v>
      </c>
      <c r="B49" s="546">
        <v>824.58685099999411</v>
      </c>
      <c r="C49" s="546">
        <v>0</v>
      </c>
      <c r="D49" s="546">
        <v>0</v>
      </c>
      <c r="E49" s="546">
        <v>0</v>
      </c>
      <c r="F49" s="546">
        <v>0</v>
      </c>
      <c r="G49" s="546">
        <v>18787.057000000001</v>
      </c>
      <c r="H49" s="547">
        <f>G49/$G$50</f>
        <v>0.51220707880194893</v>
      </c>
      <c r="I49" s="546">
        <v>1409.0342586605707</v>
      </c>
      <c r="J49" s="548">
        <f>SUM(B49:B49,F50)/SUM(C49:G49)-1</f>
        <v>7.5000265270956046E-2</v>
      </c>
    </row>
    <row r="50" spans="1:10" ht="13.5" thickBot="1" x14ac:dyDescent="0.25">
      <c r="A50" s="432" t="s">
        <v>4</v>
      </c>
      <c r="B50" s="549">
        <f t="shared" ref="B50:I50" si="3">SUM(B45:B49)</f>
        <v>40260.183851999987</v>
      </c>
      <c r="C50" s="549">
        <f t="shared" si="3"/>
        <v>11346.743211065152</v>
      </c>
      <c r="D50" s="549">
        <f t="shared" si="3"/>
        <v>15400.047025930675</v>
      </c>
      <c r="E50" s="549">
        <f t="shared" si="3"/>
        <v>28986.833423269021</v>
      </c>
      <c r="F50" s="549">
        <f t="shared" si="3"/>
        <v>19371.504407660581</v>
      </c>
      <c r="G50" s="549">
        <f t="shared" si="3"/>
        <v>36678.635999999999</v>
      </c>
      <c r="H50" s="550">
        <f t="shared" si="3"/>
        <v>1</v>
      </c>
      <c r="I50" s="549">
        <f t="shared" si="3"/>
        <v>3581.5478519999892</v>
      </c>
      <c r="J50" s="551"/>
    </row>
    <row r="52" spans="1:10" s="425" customFormat="1" ht="15.75" x14ac:dyDescent="0.25">
      <c r="A52" s="430" t="s">
        <v>85</v>
      </c>
      <c r="B52" s="431"/>
      <c r="C52" s="431"/>
      <c r="D52" s="431"/>
      <c r="E52" s="431"/>
      <c r="F52" s="431"/>
      <c r="G52" s="431"/>
      <c r="H52" s="431"/>
      <c r="I52" s="431"/>
      <c r="J52" s="431"/>
    </row>
    <row r="53" spans="1:10" ht="13.5" thickBot="1" x14ac:dyDescent="0.25"/>
    <row r="54" spans="1:10" ht="27.75" customHeight="1" thickBot="1" x14ac:dyDescent="0.25">
      <c r="A54" s="1"/>
      <c r="B54" s="1"/>
      <c r="C54" s="534" t="s">
        <v>46</v>
      </c>
      <c r="D54" s="535"/>
      <c r="E54" s="535"/>
      <c r="F54" s="536"/>
      <c r="G54" s="1"/>
      <c r="H54" s="1"/>
      <c r="I54" s="1"/>
      <c r="J54" s="1"/>
    </row>
    <row r="55" spans="1:10" ht="26.25" thickBot="1" x14ac:dyDescent="0.25">
      <c r="A55" s="530" t="s">
        <v>56</v>
      </c>
      <c r="B55" s="531" t="s">
        <v>112</v>
      </c>
      <c r="C55" s="532" t="s">
        <v>75</v>
      </c>
      <c r="D55" s="532" t="s">
        <v>47</v>
      </c>
      <c r="E55" s="532" t="s">
        <v>48</v>
      </c>
      <c r="F55" s="532" t="s">
        <v>49</v>
      </c>
      <c r="G55" s="531" t="s">
        <v>50</v>
      </c>
      <c r="H55" s="531" t="s">
        <v>51</v>
      </c>
      <c r="I55" s="531" t="s">
        <v>10</v>
      </c>
      <c r="J55" s="533" t="s">
        <v>52</v>
      </c>
    </row>
    <row r="56" spans="1:10" x14ac:dyDescent="0.2">
      <c r="A56" s="537" t="s">
        <v>45</v>
      </c>
      <c r="B56" s="538">
        <v>22439.553999999993</v>
      </c>
      <c r="C56" s="538">
        <v>8237.3797269316419</v>
      </c>
      <c r="D56" s="538">
        <v>5652.4338705076998</v>
      </c>
      <c r="E56" s="538">
        <v>5067.5675180662665</v>
      </c>
      <c r="F56" s="538">
        <v>0</v>
      </c>
      <c r="G56" s="538">
        <v>3026.1030000000001</v>
      </c>
      <c r="H56" s="539">
        <f>G56/$G$61</f>
        <v>9.4372282113870914E-2</v>
      </c>
      <c r="I56" s="538">
        <v>456.06988449438398</v>
      </c>
      <c r="J56" s="540">
        <f>SUM(B56:B56)/SUM(C56:G56)-1</f>
        <v>2.0746023792138857E-2</v>
      </c>
    </row>
    <row r="57" spans="1:10" x14ac:dyDescent="0.2">
      <c r="A57" s="541" t="s">
        <v>44</v>
      </c>
      <c r="B57" s="542">
        <v>5036.4909999999991</v>
      </c>
      <c r="C57" s="542">
        <v>0</v>
      </c>
      <c r="D57" s="542">
        <v>6954.2560330000861</v>
      </c>
      <c r="E57" s="542">
        <v>4783.2502885538752</v>
      </c>
      <c r="F57" s="542">
        <v>0</v>
      </c>
      <c r="G57" s="542">
        <v>1142.4150000000002</v>
      </c>
      <c r="H57" s="543">
        <f>G57/$G$61</f>
        <v>3.5627442513066425E-2</v>
      </c>
      <c r="I57" s="542">
        <v>393.94940537767673</v>
      </c>
      <c r="J57" s="544">
        <f>SUM(B57:B57,C61)/SUM(C57:G57)-1</f>
        <v>3.0586320796728961E-2</v>
      </c>
    </row>
    <row r="58" spans="1:10" x14ac:dyDescent="0.2">
      <c r="A58" s="541" t="s">
        <v>43</v>
      </c>
      <c r="B58" s="542">
        <v>5718.1489999999903</v>
      </c>
      <c r="C58" s="542">
        <v>0</v>
      </c>
      <c r="D58" s="542">
        <v>0</v>
      </c>
      <c r="E58" s="542">
        <v>14922.895828056486</v>
      </c>
      <c r="F58" s="542">
        <v>0.74915291531382699</v>
      </c>
      <c r="G58" s="542">
        <v>3022.7870281999999</v>
      </c>
      <c r="H58" s="543">
        <f>G58/$G$61</f>
        <v>9.4268869960949728E-2</v>
      </c>
      <c r="I58" s="542">
        <v>376.92040369259422</v>
      </c>
      <c r="J58" s="544">
        <f>SUM(B58:B58,D61)/SUM(C58:G58)-1</f>
        <v>2.1085355247359994E-2</v>
      </c>
    </row>
    <row r="59" spans="1:10" x14ac:dyDescent="0.2">
      <c r="A59" s="541" t="s">
        <v>42</v>
      </c>
      <c r="B59" s="542">
        <v>1902.8349999999987</v>
      </c>
      <c r="C59" s="542">
        <v>0</v>
      </c>
      <c r="D59" s="542">
        <v>0</v>
      </c>
      <c r="E59" s="542">
        <v>0</v>
      </c>
      <c r="F59" s="542">
        <v>16425.988731796184</v>
      </c>
      <c r="G59" s="542">
        <v>9490.8979717999991</v>
      </c>
      <c r="H59" s="543">
        <f>G59/$G$61</f>
        <v>0.29598387791449093</v>
      </c>
      <c r="I59" s="542">
        <v>761.14842172382248</v>
      </c>
      <c r="J59" s="544">
        <f>SUM(B59:B59,E61)/SUM(C59:G59)-1</f>
        <v>2.9311465523173208E-2</v>
      </c>
    </row>
    <row r="60" spans="1:10" ht="13.5" thickBot="1" x14ac:dyDescent="0.25">
      <c r="A60" s="545" t="s">
        <v>55</v>
      </c>
      <c r="B60" s="546">
        <v>283.21920800000129</v>
      </c>
      <c r="C60" s="546">
        <v>0</v>
      </c>
      <c r="D60" s="546">
        <v>0</v>
      </c>
      <c r="E60" s="546">
        <v>0</v>
      </c>
      <c r="F60" s="546">
        <v>0</v>
      </c>
      <c r="G60" s="546">
        <v>15383.387999999999</v>
      </c>
      <c r="H60" s="547">
        <f>G60/$G$61</f>
        <v>0.47974752749762195</v>
      </c>
      <c r="I60" s="546">
        <v>1326.5690927115054</v>
      </c>
      <c r="J60" s="548">
        <f>SUM(B60:B60,F61)/SUM(C60:G60)-1</f>
        <v>8.6233870764456988E-2</v>
      </c>
    </row>
    <row r="61" spans="1:10" ht="13.5" thickBot="1" x14ac:dyDescent="0.25">
      <c r="A61" s="432" t="s">
        <v>4</v>
      </c>
      <c r="B61" s="549">
        <f t="shared" ref="B61:I61" si="4">SUM(B56:B60)</f>
        <v>35380.248207999983</v>
      </c>
      <c r="C61" s="549">
        <f t="shared" si="4"/>
        <v>8237.3797269316419</v>
      </c>
      <c r="D61" s="549">
        <f t="shared" si="4"/>
        <v>12606.689903507786</v>
      </c>
      <c r="E61" s="549">
        <f t="shared" si="4"/>
        <v>24773.713634676627</v>
      </c>
      <c r="F61" s="549">
        <f t="shared" si="4"/>
        <v>16426.737884711496</v>
      </c>
      <c r="G61" s="549">
        <f t="shared" si="4"/>
        <v>32065.591</v>
      </c>
      <c r="H61" s="550">
        <f t="shared" si="4"/>
        <v>1</v>
      </c>
      <c r="I61" s="549">
        <f t="shared" si="4"/>
        <v>3314.6572079999823</v>
      </c>
      <c r="J61" s="551"/>
    </row>
    <row r="63" spans="1:10" s="425" customFormat="1" ht="15.75" x14ac:dyDescent="0.25">
      <c r="A63" s="430" t="s">
        <v>86</v>
      </c>
      <c r="B63" s="431"/>
      <c r="C63" s="431"/>
      <c r="D63" s="431"/>
      <c r="E63" s="431"/>
      <c r="F63" s="431"/>
      <c r="G63" s="431"/>
      <c r="H63" s="431"/>
      <c r="I63" s="431"/>
      <c r="J63" s="431"/>
    </row>
    <row r="64" spans="1:10" ht="13.5" thickBot="1" x14ac:dyDescent="0.25"/>
    <row r="65" spans="1:10" ht="27.75" customHeight="1" thickBot="1" x14ac:dyDescent="0.25">
      <c r="A65" s="1"/>
      <c r="B65" s="1"/>
      <c r="C65" s="534" t="s">
        <v>46</v>
      </c>
      <c r="D65" s="535"/>
      <c r="E65" s="535"/>
      <c r="F65" s="536"/>
      <c r="G65" s="1"/>
      <c r="H65" s="1"/>
      <c r="I65" s="1"/>
      <c r="J65" s="1"/>
    </row>
    <row r="66" spans="1:10" ht="26.25" thickBot="1" x14ac:dyDescent="0.25">
      <c r="A66" s="530" t="s">
        <v>56</v>
      </c>
      <c r="B66" s="531" t="s">
        <v>112</v>
      </c>
      <c r="C66" s="532" t="s">
        <v>75</v>
      </c>
      <c r="D66" s="532" t="s">
        <v>47</v>
      </c>
      <c r="E66" s="532" t="s">
        <v>48</v>
      </c>
      <c r="F66" s="532" t="s">
        <v>49</v>
      </c>
      <c r="G66" s="531" t="s">
        <v>50</v>
      </c>
      <c r="H66" s="531" t="s">
        <v>51</v>
      </c>
      <c r="I66" s="531" t="s">
        <v>10</v>
      </c>
      <c r="J66" s="533" t="s">
        <v>52</v>
      </c>
    </row>
    <row r="67" spans="1:10" x14ac:dyDescent="0.2">
      <c r="A67" s="537" t="s">
        <v>45</v>
      </c>
      <c r="B67" s="538">
        <v>26284.879000000004</v>
      </c>
      <c r="C67" s="538">
        <v>10563.334731536535</v>
      </c>
      <c r="D67" s="538">
        <v>6702.2485818678797</v>
      </c>
      <c r="E67" s="538">
        <v>5253.2611385445334</v>
      </c>
      <c r="F67" s="538">
        <v>0</v>
      </c>
      <c r="G67" s="538">
        <v>3327.3850000000002</v>
      </c>
      <c r="H67" s="539">
        <f>G67/$G$72</f>
        <v>0.10248554911514414</v>
      </c>
      <c r="I67" s="538">
        <v>438.64954805104185</v>
      </c>
      <c r="J67" s="540">
        <f>SUM(B67:B67)/SUM(C67:G67)-1</f>
        <v>1.6971510249359723E-2</v>
      </c>
    </row>
    <row r="68" spans="1:10" x14ac:dyDescent="0.2">
      <c r="A68" s="541" t="s">
        <v>44</v>
      </c>
      <c r="B68" s="542">
        <v>4092.3879999999999</v>
      </c>
      <c r="C68" s="542">
        <v>0</v>
      </c>
      <c r="D68" s="542">
        <v>8009.4995698804178</v>
      </c>
      <c r="E68" s="542">
        <v>5030.4983525285897</v>
      </c>
      <c r="F68" s="542">
        <v>0</v>
      </c>
      <c r="G68" s="542">
        <v>1226.681</v>
      </c>
      <c r="H68" s="543">
        <f>G68/$G$72</f>
        <v>3.7782545715062767E-2</v>
      </c>
      <c r="I68" s="542">
        <v>389.04380912752652</v>
      </c>
      <c r="J68" s="544">
        <f>SUM(B68:B68,C72)/SUM(C68:G68)-1</f>
        <v>2.7269402447716473E-2</v>
      </c>
    </row>
    <row r="69" spans="1:10" x14ac:dyDescent="0.2">
      <c r="A69" s="541" t="s">
        <v>43</v>
      </c>
      <c r="B69" s="542">
        <v>4600.6205000000009</v>
      </c>
      <c r="C69" s="542">
        <v>0</v>
      </c>
      <c r="D69" s="542">
        <v>0</v>
      </c>
      <c r="E69" s="542">
        <v>15634.185564561974</v>
      </c>
      <c r="F69" s="542">
        <v>0.91549537580162421</v>
      </c>
      <c r="G69" s="542">
        <v>3305.4403912000002</v>
      </c>
      <c r="H69" s="543">
        <f>G69/$G$72</f>
        <v>0.10180964137288258</v>
      </c>
      <c r="I69" s="542">
        <v>371.82720061052123</v>
      </c>
      <c r="J69" s="544">
        <f>SUM(B69:B69,D72)/SUM(C69:G69)-1</f>
        <v>1.9631286759660416E-2</v>
      </c>
    </row>
    <row r="70" spans="1:10" x14ac:dyDescent="0.2">
      <c r="A70" s="541" t="s">
        <v>42</v>
      </c>
      <c r="B70" s="542">
        <v>959.12099799999964</v>
      </c>
      <c r="C70" s="542">
        <v>0</v>
      </c>
      <c r="D70" s="542">
        <v>0</v>
      </c>
      <c r="E70" s="542">
        <v>0</v>
      </c>
      <c r="F70" s="542">
        <v>16544.526845237691</v>
      </c>
      <c r="G70" s="542">
        <v>9502.5166087999987</v>
      </c>
      <c r="H70" s="543">
        <f>G70/$G$72</f>
        <v>0.29268348346483658</v>
      </c>
      <c r="I70" s="542">
        <v>830.02059959740234</v>
      </c>
      <c r="J70" s="544">
        <f>SUM(B70:B70,E72)/SUM(C70:G70)-1</f>
        <v>3.1866288435463241E-2</v>
      </c>
    </row>
    <row r="71" spans="1:10" ht="13.5" thickBot="1" x14ac:dyDescent="0.25">
      <c r="A71" s="545" t="s">
        <v>55</v>
      </c>
      <c r="B71" s="546">
        <v>1.9220000000000204</v>
      </c>
      <c r="C71" s="546">
        <v>0</v>
      </c>
      <c r="D71" s="546">
        <v>0</v>
      </c>
      <c r="E71" s="546">
        <v>0</v>
      </c>
      <c r="F71" s="546">
        <v>0</v>
      </c>
      <c r="G71" s="546">
        <v>15104.847000000002</v>
      </c>
      <c r="H71" s="547">
        <f>G71/$G$72</f>
        <v>0.46523878033207389</v>
      </c>
      <c r="I71" s="546">
        <v>1442.4933406135101</v>
      </c>
      <c r="J71" s="548">
        <f>SUM(B71:B71,F72)/SUM(C71:G71)-1</f>
        <v>9.5500294747340897E-2</v>
      </c>
    </row>
    <row r="72" spans="1:10" ht="13.5" thickBot="1" x14ac:dyDescent="0.25">
      <c r="A72" s="432" t="s">
        <v>4</v>
      </c>
      <c r="B72" s="549">
        <f t="shared" ref="B72:I72" si="5">SUM(B67:B71)</f>
        <v>35938.930498000002</v>
      </c>
      <c r="C72" s="549">
        <f t="shared" si="5"/>
        <v>10563.334731536535</v>
      </c>
      <c r="D72" s="549">
        <f t="shared" si="5"/>
        <v>14711.748151748297</v>
      </c>
      <c r="E72" s="549">
        <f t="shared" si="5"/>
        <v>25917.9450556351</v>
      </c>
      <c r="F72" s="549">
        <f t="shared" si="5"/>
        <v>16545.442340613492</v>
      </c>
      <c r="G72" s="549">
        <f t="shared" si="5"/>
        <v>32466.870000000003</v>
      </c>
      <c r="H72" s="550">
        <f t="shared" si="5"/>
        <v>1</v>
      </c>
      <c r="I72" s="549">
        <f t="shared" si="5"/>
        <v>3472.0344980000023</v>
      </c>
      <c r="J72" s="551"/>
    </row>
  </sheetData>
  <pageMargins left="0.7" right="0.7" top="0.75" bottom="0.75" header="0.3" footer="0.3"/>
  <pageSetup paperSize="9" scale="6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sheetPr>
    <pageSetUpPr fitToPage="1"/>
  </sheetPr>
  <dimension ref="A1:J72"/>
  <sheetViews>
    <sheetView showGridLines="0" workbookViewId="0"/>
  </sheetViews>
  <sheetFormatPr baseColWidth="10" defaultRowHeight="12.75" x14ac:dyDescent="0.2"/>
  <cols>
    <col min="1" max="1" width="21.42578125" customWidth="1"/>
    <col min="11" max="11" width="2.7109375" customWidth="1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4" customFormat="1" ht="30" customHeight="1" x14ac:dyDescent="0.2">
      <c r="A6" s="412" t="s">
        <v>199</v>
      </c>
      <c r="B6" s="412"/>
    </row>
    <row r="7" spans="1:10" ht="5.0999999999999996" customHeight="1" x14ac:dyDescent="0.2"/>
    <row r="8" spans="1:10" s="425" customFormat="1" ht="15.75" x14ac:dyDescent="0.25">
      <c r="A8" s="430" t="s">
        <v>53</v>
      </c>
      <c r="B8" s="431"/>
      <c r="C8" s="431"/>
      <c r="D8" s="431"/>
      <c r="E8" s="431"/>
      <c r="F8" s="431"/>
      <c r="G8" s="431"/>
      <c r="H8" s="431"/>
      <c r="I8" s="431"/>
      <c r="J8" s="431"/>
    </row>
    <row r="9" spans="1:10" ht="13.5" thickBot="1" x14ac:dyDescent="0.25"/>
    <row r="10" spans="1:10" ht="27.75" customHeight="1" thickBot="1" x14ac:dyDescent="0.25">
      <c r="A10" s="1"/>
      <c r="B10" s="1"/>
      <c r="C10" s="534" t="s">
        <v>46</v>
      </c>
      <c r="D10" s="535"/>
      <c r="E10" s="535"/>
      <c r="F10" s="536"/>
      <c r="G10" s="1"/>
      <c r="H10" s="1"/>
      <c r="I10" s="1"/>
      <c r="J10" s="1"/>
    </row>
    <row r="11" spans="1:10" ht="26.25" thickBot="1" x14ac:dyDescent="0.25">
      <c r="A11" s="530" t="s">
        <v>56</v>
      </c>
      <c r="B11" s="531" t="s">
        <v>112</v>
      </c>
      <c r="C11" s="532" t="s">
        <v>75</v>
      </c>
      <c r="D11" s="532" t="s">
        <v>47</v>
      </c>
      <c r="E11" s="532" t="s">
        <v>48</v>
      </c>
      <c r="F11" s="532" t="s">
        <v>49</v>
      </c>
      <c r="G11" s="531" t="s">
        <v>50</v>
      </c>
      <c r="H11" s="531" t="s">
        <v>51</v>
      </c>
      <c r="I11" s="531" t="s">
        <v>10</v>
      </c>
      <c r="J11" s="533" t="s">
        <v>52</v>
      </c>
    </row>
    <row r="12" spans="1:10" x14ac:dyDescent="0.2">
      <c r="A12" s="537" t="s">
        <v>45</v>
      </c>
      <c r="B12" s="538">
        <v>17866263.744189039</v>
      </c>
      <c r="C12" s="538">
        <v>7235796.6468319464</v>
      </c>
      <c r="D12" s="538">
        <v>4476056.3639625357</v>
      </c>
      <c r="E12" s="538">
        <v>3993494.4227491878</v>
      </c>
      <c r="F12" s="538">
        <v>0</v>
      </c>
      <c r="G12" s="538">
        <v>1881964.6789971299</v>
      </c>
      <c r="H12" s="539">
        <f>G12/$G$17</f>
        <v>7.8378554550148583E-2</v>
      </c>
      <c r="I12" s="538">
        <v>278951.63164824317</v>
      </c>
      <c r="J12" s="540">
        <f>SUM(B12:B12)/SUM(C12:G12)-1</f>
        <v>1.5860958733388886E-2</v>
      </c>
    </row>
    <row r="13" spans="1:10" x14ac:dyDescent="0.2">
      <c r="A13" s="541" t="s">
        <v>44</v>
      </c>
      <c r="B13" s="542">
        <v>3249566.3954774784</v>
      </c>
      <c r="C13" s="542">
        <v>0</v>
      </c>
      <c r="D13" s="542">
        <v>5605505.3350200979</v>
      </c>
      <c r="E13" s="542">
        <v>3848520.6248624362</v>
      </c>
      <c r="F13" s="542">
        <v>0</v>
      </c>
      <c r="G13" s="542">
        <v>824693.46379461326</v>
      </c>
      <c r="H13" s="543">
        <f>G13/$G$17</f>
        <v>3.4346171509245238E-2</v>
      </c>
      <c r="I13" s="542">
        <v>206643.54081472533</v>
      </c>
      <c r="J13" s="544">
        <f>SUM(B13:B13,C17)/SUM(C13:G13)-1</f>
        <v>2.0104023674026195E-2</v>
      </c>
    </row>
    <row r="14" spans="1:10" x14ac:dyDescent="0.2">
      <c r="A14" s="541" t="s">
        <v>43</v>
      </c>
      <c r="B14" s="542">
        <v>3505954.6898312559</v>
      </c>
      <c r="C14" s="542">
        <v>0</v>
      </c>
      <c r="D14" s="542">
        <v>0</v>
      </c>
      <c r="E14" s="542">
        <v>11201616.73657891</v>
      </c>
      <c r="F14" s="542">
        <v>573.08640332234734</v>
      </c>
      <c r="G14" s="542">
        <v>2177041.195024367</v>
      </c>
      <c r="H14" s="543">
        <f>G14/$G$17</f>
        <v>9.0667664471293846E-2</v>
      </c>
      <c r="I14" s="542">
        <v>208285.37084070046</v>
      </c>
      <c r="J14" s="544">
        <f>SUM(B14:B14,D17)/SUM(C14:G14)-1</f>
        <v>1.5567813316547774E-2</v>
      </c>
    </row>
    <row r="15" spans="1:10" x14ac:dyDescent="0.2">
      <c r="A15" s="541" t="s">
        <v>42</v>
      </c>
      <c r="B15" s="542">
        <v>1074452.3208884438</v>
      </c>
      <c r="C15" s="542">
        <v>0</v>
      </c>
      <c r="D15" s="542">
        <v>0</v>
      </c>
      <c r="E15" s="542">
        <v>0</v>
      </c>
      <c r="F15" s="542">
        <v>12664666.281130971</v>
      </c>
      <c r="G15" s="542">
        <v>7085107.3961960077</v>
      </c>
      <c r="H15" s="543">
        <f>G15/$G$17</f>
        <v>0.29507486657099841</v>
      </c>
      <c r="I15" s="542">
        <v>368310.42775199685</v>
      </c>
      <c r="J15" s="544">
        <f>SUM(B15:B15,E17)/SUM(C15:G15)-1</f>
        <v>1.8648842957366574E-2</v>
      </c>
    </row>
    <row r="16" spans="1:10" ht="13.5" thickBot="1" x14ac:dyDescent="0.25">
      <c r="A16" s="545" t="s">
        <v>55</v>
      </c>
      <c r="B16" s="546">
        <v>335283.71333534177</v>
      </c>
      <c r="C16" s="546">
        <v>0</v>
      </c>
      <c r="D16" s="546">
        <v>0</v>
      </c>
      <c r="E16" s="546">
        <v>0</v>
      </c>
      <c r="F16" s="546">
        <v>0</v>
      </c>
      <c r="G16" s="546">
        <v>12042412.786411691</v>
      </c>
      <c r="H16" s="547">
        <f>G16/$G$17</f>
        <v>0.50153274289831395</v>
      </c>
      <c r="I16" s="546">
        <v>958110.19537225389</v>
      </c>
      <c r="J16" s="548">
        <f>SUM(B16:B16,F17)/SUM(C16:G16)-1</f>
        <v>7.9561323087931957E-2</v>
      </c>
    </row>
    <row r="17" spans="1:10" ht="13.5" thickBot="1" x14ac:dyDescent="0.25">
      <c r="A17" s="432" t="s">
        <v>4</v>
      </c>
      <c r="B17" s="549">
        <f t="shared" ref="B17:I17" si="0">SUM(B12:B16)</f>
        <v>26031520.863721561</v>
      </c>
      <c r="C17" s="549">
        <f t="shared" si="0"/>
        <v>7235796.6468319464</v>
      </c>
      <c r="D17" s="549">
        <f t="shared" si="0"/>
        <v>10081561.698982634</v>
      </c>
      <c r="E17" s="549">
        <f t="shared" si="0"/>
        <v>19043631.784190536</v>
      </c>
      <c r="F17" s="549">
        <f t="shared" si="0"/>
        <v>12665239.367534293</v>
      </c>
      <c r="G17" s="549">
        <f t="shared" si="0"/>
        <v>24011219.520423807</v>
      </c>
      <c r="H17" s="550">
        <f>SUM(H12:H16)</f>
        <v>1</v>
      </c>
      <c r="I17" s="549">
        <f t="shared" si="0"/>
        <v>2020301.1664279196</v>
      </c>
      <c r="J17" s="551"/>
    </row>
    <row r="19" spans="1:10" s="425" customFormat="1" ht="15.75" x14ac:dyDescent="0.25">
      <c r="A19" s="430" t="s">
        <v>76</v>
      </c>
      <c r="B19" s="431"/>
      <c r="C19" s="431"/>
      <c r="D19" s="431"/>
      <c r="E19" s="431"/>
      <c r="F19" s="431"/>
      <c r="G19" s="431"/>
      <c r="H19" s="431"/>
      <c r="I19" s="431"/>
      <c r="J19" s="431"/>
    </row>
    <row r="20" spans="1:10" ht="13.5" thickBot="1" x14ac:dyDescent="0.25"/>
    <row r="21" spans="1:10" ht="27.75" customHeight="1" thickBot="1" x14ac:dyDescent="0.25">
      <c r="A21" s="1"/>
      <c r="B21" s="1"/>
      <c r="C21" s="534" t="s">
        <v>46</v>
      </c>
      <c r="D21" s="535"/>
      <c r="E21" s="535"/>
      <c r="F21" s="536"/>
      <c r="G21" s="1"/>
      <c r="H21" s="1"/>
      <c r="I21" s="1"/>
      <c r="J21" s="1"/>
    </row>
    <row r="22" spans="1:10" ht="26.25" thickBot="1" x14ac:dyDescent="0.25">
      <c r="A22" s="530" t="s">
        <v>56</v>
      </c>
      <c r="B22" s="531" t="s">
        <v>112</v>
      </c>
      <c r="C22" s="532" t="s">
        <v>75</v>
      </c>
      <c r="D22" s="532" t="s">
        <v>47</v>
      </c>
      <c r="E22" s="532" t="s">
        <v>48</v>
      </c>
      <c r="F22" s="532" t="s">
        <v>49</v>
      </c>
      <c r="G22" s="531" t="s">
        <v>50</v>
      </c>
      <c r="H22" s="531" t="s">
        <v>51</v>
      </c>
      <c r="I22" s="531" t="s">
        <v>10</v>
      </c>
      <c r="J22" s="533" t="s">
        <v>52</v>
      </c>
    </row>
    <row r="23" spans="1:10" x14ac:dyDescent="0.2">
      <c r="A23" s="537" t="s">
        <v>45</v>
      </c>
      <c r="B23" s="538">
        <v>21982836.79964846</v>
      </c>
      <c r="C23" s="538">
        <v>8857006.4495208301</v>
      </c>
      <c r="D23" s="538">
        <v>5430386.9029432982</v>
      </c>
      <c r="E23" s="538">
        <v>4841125.902634169</v>
      </c>
      <c r="F23" s="538">
        <v>0</v>
      </c>
      <c r="G23" s="538">
        <v>2539590.9881545096</v>
      </c>
      <c r="H23" s="539">
        <f>G23/$G$28</f>
        <v>8.5017408395796329E-2</v>
      </c>
      <c r="I23" s="538">
        <v>314726.55639565457</v>
      </c>
      <c r="J23" s="540">
        <f>SUM(B23:B23)/SUM(C23:G23)-1</f>
        <v>1.4524873321320575E-2</v>
      </c>
    </row>
    <row r="24" spans="1:10" x14ac:dyDescent="0.2">
      <c r="A24" s="541" t="s">
        <v>44</v>
      </c>
      <c r="B24" s="542">
        <v>4009958.3234041389</v>
      </c>
      <c r="C24" s="542">
        <v>0</v>
      </c>
      <c r="D24" s="542">
        <v>6904960.0518713109</v>
      </c>
      <c r="E24" s="542">
        <v>4615588.5299025504</v>
      </c>
      <c r="F24" s="542">
        <v>0</v>
      </c>
      <c r="G24" s="542">
        <v>1082929.1803236497</v>
      </c>
      <c r="H24" s="543">
        <f>G24/$G$28</f>
        <v>3.6253015866230212E-2</v>
      </c>
      <c r="I24" s="542">
        <v>263486.87989212491</v>
      </c>
      <c r="J24" s="544">
        <f>SUM(B24:B24,C28)/SUM(C24:G24)-1</f>
        <v>2.0905897229401393E-2</v>
      </c>
    </row>
    <row r="25" spans="1:10" x14ac:dyDescent="0.2">
      <c r="A25" s="541" t="s">
        <v>43</v>
      </c>
      <c r="B25" s="542">
        <v>4631651.6566316029</v>
      </c>
      <c r="C25" s="542">
        <v>0</v>
      </c>
      <c r="D25" s="542">
        <v>0</v>
      </c>
      <c r="E25" s="542">
        <v>13891085.748799376</v>
      </c>
      <c r="F25" s="542">
        <v>860.28576327175892</v>
      </c>
      <c r="G25" s="542">
        <v>2813219.6408192264</v>
      </c>
      <c r="H25" s="543">
        <f>G25/$G$28</f>
        <v>9.417762317876531E-2</v>
      </c>
      <c r="I25" s="542">
        <v>261832.93612054735</v>
      </c>
      <c r="J25" s="544">
        <f>SUM(B25:B25,D28)/SUM(C25:G25)-1</f>
        <v>1.5673770685806332E-2</v>
      </c>
    </row>
    <row r="26" spans="1:10" x14ac:dyDescent="0.2">
      <c r="A26" s="541" t="s">
        <v>42</v>
      </c>
      <c r="B26" s="542">
        <v>1341983.9079364382</v>
      </c>
      <c r="C26" s="542">
        <v>0</v>
      </c>
      <c r="D26" s="542">
        <v>0</v>
      </c>
      <c r="E26" s="542">
        <v>0</v>
      </c>
      <c r="F26" s="542">
        <v>15452999.441202097</v>
      </c>
      <c r="G26" s="542">
        <v>8771333.4543451685</v>
      </c>
      <c r="H26" s="543">
        <f>G26/$G$28</f>
        <v>0.29363627526717484</v>
      </c>
      <c r="I26" s="542">
        <v>465451.19372527074</v>
      </c>
      <c r="J26" s="544">
        <f>SUM(B26:B26,E28)/SUM(C26:G26)-1</f>
        <v>1.9214200685411909E-2</v>
      </c>
    </row>
    <row r="27" spans="1:10" ht="13.5" thickBot="1" x14ac:dyDescent="0.25">
      <c r="A27" s="545" t="s">
        <v>55</v>
      </c>
      <c r="B27" s="546">
        <v>455829.38279185974</v>
      </c>
      <c r="C27" s="546">
        <v>0</v>
      </c>
      <c r="D27" s="546">
        <v>0</v>
      </c>
      <c r="E27" s="546">
        <v>0</v>
      </c>
      <c r="F27" s="546">
        <v>0</v>
      </c>
      <c r="G27" s="546">
        <v>14664349.966897596</v>
      </c>
      <c r="H27" s="547">
        <f>G27/$G$28</f>
        <v>0.49091567729203334</v>
      </c>
      <c r="I27" s="546">
        <v>1245339.1234226846</v>
      </c>
      <c r="J27" s="548">
        <f>SUM(B27:B27,F28)/SUM(C27:G27)-1</f>
        <v>8.4922901163078102E-2</v>
      </c>
    </row>
    <row r="28" spans="1:10" ht="13.5" thickBot="1" x14ac:dyDescent="0.25">
      <c r="A28" s="432" t="s">
        <v>4</v>
      </c>
      <c r="B28" s="549">
        <f t="shared" ref="B28:I28" si="1">SUM(B23:B27)</f>
        <v>32422260.070412498</v>
      </c>
      <c r="C28" s="549">
        <f t="shared" si="1"/>
        <v>8857006.4495208301</v>
      </c>
      <c r="D28" s="549">
        <f t="shared" si="1"/>
        <v>12335346.954814609</v>
      </c>
      <c r="E28" s="549">
        <f t="shared" si="1"/>
        <v>23347800.181336097</v>
      </c>
      <c r="F28" s="549">
        <f t="shared" si="1"/>
        <v>15453859.726965368</v>
      </c>
      <c r="G28" s="549">
        <f t="shared" si="1"/>
        <v>29871423.230540149</v>
      </c>
      <c r="H28" s="550">
        <f t="shared" si="1"/>
        <v>1</v>
      </c>
      <c r="I28" s="549">
        <f t="shared" si="1"/>
        <v>2550836.689556282</v>
      </c>
      <c r="J28" s="551"/>
    </row>
    <row r="30" spans="1:10" s="425" customFormat="1" ht="15.75" x14ac:dyDescent="0.25">
      <c r="A30" s="430" t="s">
        <v>77</v>
      </c>
      <c r="B30" s="431"/>
      <c r="C30" s="431"/>
      <c r="D30" s="431"/>
      <c r="E30" s="431"/>
      <c r="F30" s="431"/>
      <c r="G30" s="431"/>
      <c r="H30" s="431"/>
      <c r="I30" s="431"/>
      <c r="J30" s="431"/>
    </row>
    <row r="31" spans="1:10" ht="13.5" thickBot="1" x14ac:dyDescent="0.25"/>
    <row r="32" spans="1:10" ht="27.75" customHeight="1" thickBot="1" x14ac:dyDescent="0.25">
      <c r="A32" s="1"/>
      <c r="B32" s="1"/>
      <c r="C32" s="534" t="s">
        <v>46</v>
      </c>
      <c r="D32" s="535"/>
      <c r="E32" s="535"/>
      <c r="F32" s="536"/>
      <c r="G32" s="1"/>
      <c r="H32" s="1"/>
      <c r="I32" s="1"/>
      <c r="J32" s="1"/>
    </row>
    <row r="33" spans="1:10" ht="26.25" thickBot="1" x14ac:dyDescent="0.25">
      <c r="A33" s="530" t="s">
        <v>56</v>
      </c>
      <c r="B33" s="531" t="s">
        <v>112</v>
      </c>
      <c r="C33" s="532" t="s">
        <v>75</v>
      </c>
      <c r="D33" s="532" t="s">
        <v>47</v>
      </c>
      <c r="E33" s="532" t="s">
        <v>48</v>
      </c>
      <c r="F33" s="532" t="s">
        <v>49</v>
      </c>
      <c r="G33" s="531" t="s">
        <v>50</v>
      </c>
      <c r="H33" s="531" t="s">
        <v>51</v>
      </c>
      <c r="I33" s="531" t="s">
        <v>10</v>
      </c>
      <c r="J33" s="533" t="s">
        <v>52</v>
      </c>
    </row>
    <row r="34" spans="1:10" x14ac:dyDescent="0.2">
      <c r="A34" s="537" t="s">
        <v>45</v>
      </c>
      <c r="B34" s="538">
        <v>18274853.052189149</v>
      </c>
      <c r="C34" s="538">
        <v>7225659.873008905</v>
      </c>
      <c r="D34" s="538">
        <v>4381114.7072535744</v>
      </c>
      <c r="E34" s="538">
        <v>3971935.7233925788</v>
      </c>
      <c r="F34" s="538">
        <v>0</v>
      </c>
      <c r="G34" s="538">
        <v>2416503.4050016818</v>
      </c>
      <c r="H34" s="539">
        <f>G34/$G$39</f>
        <v>9.5009006243666302E-2</v>
      </c>
      <c r="I34" s="538">
        <v>279639.34353241004</v>
      </c>
      <c r="J34" s="540">
        <f>SUM(B34:B34)/SUM(C34:G34)-1</f>
        <v>1.5539651157234546E-2</v>
      </c>
    </row>
    <row r="35" spans="1:10" x14ac:dyDescent="0.2">
      <c r="A35" s="541" t="s">
        <v>44</v>
      </c>
      <c r="B35" s="542">
        <v>3645172.785549263</v>
      </c>
      <c r="C35" s="542">
        <v>0</v>
      </c>
      <c r="D35" s="542">
        <v>5744728.5975128626</v>
      </c>
      <c r="E35" s="542">
        <v>3882659.8393952646</v>
      </c>
      <c r="F35" s="542">
        <v>0</v>
      </c>
      <c r="G35" s="542">
        <v>1005186.0788897962</v>
      </c>
      <c r="H35" s="543">
        <f>G35/$G$39</f>
        <v>3.9520627302911095E-2</v>
      </c>
      <c r="I35" s="542">
        <v>238258.12830409428</v>
      </c>
      <c r="J35" s="544">
        <f>SUM(B35:B35,C39)/SUM(C35:G35)-1</f>
        <v>2.2408320995657149E-2</v>
      </c>
    </row>
    <row r="36" spans="1:10" x14ac:dyDescent="0.2">
      <c r="A36" s="541" t="s">
        <v>43</v>
      </c>
      <c r="B36" s="542">
        <v>4150960.9435451706</v>
      </c>
      <c r="C36" s="542">
        <v>0</v>
      </c>
      <c r="D36" s="542">
        <v>0</v>
      </c>
      <c r="E36" s="542">
        <v>11549205.319025908</v>
      </c>
      <c r="F36" s="542">
        <v>696.03442888357085</v>
      </c>
      <c r="G36" s="542">
        <v>2483390.8420720831</v>
      </c>
      <c r="H36" s="543">
        <f>G36/$G$39</f>
        <v>9.7638801390278224E-2</v>
      </c>
      <c r="I36" s="542">
        <v>243512.05279043299</v>
      </c>
      <c r="J36" s="544">
        <f>SUM(B36:B36,D39)/SUM(C36:G36)-1</f>
        <v>1.7352453678856072E-2</v>
      </c>
    </row>
    <row r="37" spans="1:10" x14ac:dyDescent="0.2">
      <c r="A37" s="541" t="s">
        <v>42</v>
      </c>
      <c r="B37" s="542">
        <v>1213746.5152487438</v>
      </c>
      <c r="C37" s="542">
        <v>0</v>
      </c>
      <c r="D37" s="542">
        <v>0</v>
      </c>
      <c r="E37" s="542">
        <v>0</v>
      </c>
      <c r="F37" s="542">
        <v>12664254.28060966</v>
      </c>
      <c r="G37" s="542">
        <v>7505713.5968069099</v>
      </c>
      <c r="H37" s="543">
        <f>G37/$G$39</f>
        <v>0.29510009731672715</v>
      </c>
      <c r="I37" s="542">
        <v>447579.51964592503</v>
      </c>
      <c r="J37" s="544">
        <f>SUM(B37:B37,E39)/SUM(C37:G37)-1</f>
        <v>2.2190393280053788E-2</v>
      </c>
    </row>
    <row r="38" spans="1:10" ht="13.5" thickBot="1" x14ac:dyDescent="0.25">
      <c r="A38" s="545" t="s">
        <v>55</v>
      </c>
      <c r="B38" s="546">
        <v>378968.12580676621</v>
      </c>
      <c r="C38" s="546">
        <v>0</v>
      </c>
      <c r="D38" s="546">
        <v>0</v>
      </c>
      <c r="E38" s="546">
        <v>0</v>
      </c>
      <c r="F38" s="546">
        <v>0</v>
      </c>
      <c r="G38" s="546">
        <v>12023672.771935916</v>
      </c>
      <c r="H38" s="547">
        <f>G38/$G$39</f>
        <v>0.47273146774641722</v>
      </c>
      <c r="I38" s="546">
        <v>1020245.6601118601</v>
      </c>
      <c r="J38" s="548">
        <f>SUM(B38:B38,F39)/SUM(C38:G38)-1</f>
        <v>8.4853080107994749E-2</v>
      </c>
    </row>
    <row r="39" spans="1:10" ht="13.5" thickBot="1" x14ac:dyDescent="0.25">
      <c r="A39" s="432" t="s">
        <v>4</v>
      </c>
      <c r="B39" s="549">
        <f t="shared" ref="B39:I39" si="2">SUM(B34:B38)</f>
        <v>27663701.422339093</v>
      </c>
      <c r="C39" s="549">
        <f t="shared" si="2"/>
        <v>7225659.873008905</v>
      </c>
      <c r="D39" s="549">
        <f t="shared" si="2"/>
        <v>10125843.304766437</v>
      </c>
      <c r="E39" s="549">
        <f t="shared" si="2"/>
        <v>19403800.88181375</v>
      </c>
      <c r="F39" s="549">
        <f t="shared" si="2"/>
        <v>12664950.315038543</v>
      </c>
      <c r="G39" s="549">
        <f t="shared" si="2"/>
        <v>25434466.694706388</v>
      </c>
      <c r="H39" s="550">
        <f t="shared" si="2"/>
        <v>1</v>
      </c>
      <c r="I39" s="549">
        <f t="shared" si="2"/>
        <v>2229234.7043847227</v>
      </c>
      <c r="J39" s="551"/>
    </row>
    <row r="41" spans="1:10" s="425" customFormat="1" ht="15.75" x14ac:dyDescent="0.25">
      <c r="A41" s="430" t="s">
        <v>78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0" ht="13.5" thickBot="1" x14ac:dyDescent="0.25"/>
    <row r="43" spans="1:10" ht="27.75" customHeight="1" thickBot="1" x14ac:dyDescent="0.25">
      <c r="A43" s="1"/>
      <c r="B43" s="1"/>
      <c r="C43" s="534" t="s">
        <v>46</v>
      </c>
      <c r="D43" s="535"/>
      <c r="E43" s="535"/>
      <c r="F43" s="536"/>
      <c r="G43" s="1"/>
      <c r="H43" s="1"/>
      <c r="I43" s="1"/>
      <c r="J43" s="1"/>
    </row>
    <row r="44" spans="1:10" ht="26.25" thickBot="1" x14ac:dyDescent="0.25">
      <c r="A44" s="530" t="s">
        <v>56</v>
      </c>
      <c r="B44" s="531" t="s">
        <v>112</v>
      </c>
      <c r="C44" s="532" t="s">
        <v>75</v>
      </c>
      <c r="D44" s="532" t="s">
        <v>47</v>
      </c>
      <c r="E44" s="532" t="s">
        <v>48</v>
      </c>
      <c r="F44" s="532" t="s">
        <v>49</v>
      </c>
      <c r="G44" s="531" t="s">
        <v>50</v>
      </c>
      <c r="H44" s="531" t="s">
        <v>51</v>
      </c>
      <c r="I44" s="531" t="s">
        <v>10</v>
      </c>
      <c r="J44" s="533" t="s">
        <v>52</v>
      </c>
    </row>
    <row r="45" spans="1:10" x14ac:dyDescent="0.2">
      <c r="A45" s="537" t="s">
        <v>45</v>
      </c>
      <c r="B45" s="538">
        <v>21079340.594202269</v>
      </c>
      <c r="C45" s="538">
        <v>8275156.5386646995</v>
      </c>
      <c r="D45" s="538">
        <v>5009705.3910670467</v>
      </c>
      <c r="E45" s="538">
        <v>4558009.4988105791</v>
      </c>
      <c r="F45" s="538">
        <v>0</v>
      </c>
      <c r="G45" s="538">
        <v>2939425.4489664505</v>
      </c>
      <c r="H45" s="539">
        <f>G45/$G$50</f>
        <v>9.9072801620230272E-2</v>
      </c>
      <c r="I45" s="538">
        <v>297043.7166934901</v>
      </c>
      <c r="J45" s="540">
        <f>SUM(B45:B45)/SUM(C45:G45)-1</f>
        <v>1.4293112953023268E-2</v>
      </c>
    </row>
    <row r="46" spans="1:10" x14ac:dyDescent="0.2">
      <c r="A46" s="541" t="s">
        <v>44</v>
      </c>
      <c r="B46" s="542">
        <v>4324007.105800082</v>
      </c>
      <c r="C46" s="542">
        <v>0</v>
      </c>
      <c r="D46" s="542">
        <v>6631417.2115451442</v>
      </c>
      <c r="E46" s="542">
        <v>4477429.6166103035</v>
      </c>
      <c r="F46" s="542">
        <v>0</v>
      </c>
      <c r="G46" s="542">
        <v>1219704.7483905011</v>
      </c>
      <c r="H46" s="543">
        <f>G46/$G$50</f>
        <v>4.1109927321012388E-2</v>
      </c>
      <c r="I46" s="542">
        <v>270612.05903595121</v>
      </c>
      <c r="J46" s="544">
        <f>SUM(B46:B46,C50)/SUM(C46:G46)-1</f>
        <v>2.1950029266507798E-2</v>
      </c>
    </row>
    <row r="47" spans="1:10" x14ac:dyDescent="0.2">
      <c r="A47" s="541" t="s">
        <v>43</v>
      </c>
      <c r="B47" s="542">
        <v>4818860.4926933544</v>
      </c>
      <c r="C47" s="542">
        <v>0</v>
      </c>
      <c r="D47" s="542">
        <v>0</v>
      </c>
      <c r="E47" s="542">
        <v>13200185.507522309</v>
      </c>
      <c r="F47" s="542">
        <v>800.81757159665938</v>
      </c>
      <c r="G47" s="542">
        <v>2973407.606992824</v>
      </c>
      <c r="H47" s="543">
        <f>G47/$G$50</f>
        <v>0.10021816409300807</v>
      </c>
      <c r="I47" s="542">
        <v>285589.16322223929</v>
      </c>
      <c r="J47" s="544">
        <f>SUM(B47:B47,D50)/SUM(C47:G47)-1</f>
        <v>1.765686951968326E-2</v>
      </c>
    </row>
    <row r="48" spans="1:10" x14ac:dyDescent="0.2">
      <c r="A48" s="541" t="s">
        <v>42</v>
      </c>
      <c r="B48" s="542">
        <v>1521130.4597577453</v>
      </c>
      <c r="C48" s="542">
        <v>0</v>
      </c>
      <c r="D48" s="542">
        <v>0</v>
      </c>
      <c r="E48" s="542">
        <v>0</v>
      </c>
      <c r="F48" s="542">
        <v>14348160.520468023</v>
      </c>
      <c r="G48" s="542">
        <v>8937002.8365324531</v>
      </c>
      <c r="H48" s="543">
        <f>G48/$G$50</f>
        <v>0.30122005965980214</v>
      </c>
      <c r="I48" s="542">
        <v>471591.72570046294</v>
      </c>
      <c r="J48" s="544">
        <f>SUM(B48:B48,E50)/SUM(C48:G48)-1</f>
        <v>2.0252884571612118E-2</v>
      </c>
    </row>
    <row r="49" spans="1:10" ht="13.5" thickBot="1" x14ac:dyDescent="0.25">
      <c r="A49" s="545" t="s">
        <v>55</v>
      </c>
      <c r="B49" s="546">
        <v>503167.7587193498</v>
      </c>
      <c r="C49" s="546">
        <v>0</v>
      </c>
      <c r="D49" s="546">
        <v>0</v>
      </c>
      <c r="E49" s="546">
        <v>0</v>
      </c>
      <c r="F49" s="546">
        <v>0</v>
      </c>
      <c r="G49" s="546">
        <v>13599807.564632045</v>
      </c>
      <c r="H49" s="547">
        <f>G49/$G$50</f>
        <v>0.45837904730594714</v>
      </c>
      <c r="I49" s="546">
        <v>1252321.5234518719</v>
      </c>
      <c r="J49" s="548">
        <f>SUM(B49:B49,F50)/SUM(C49:G49)-1</f>
        <v>9.2083768551529888E-2</v>
      </c>
    </row>
    <row r="50" spans="1:10" ht="13.5" thickBot="1" x14ac:dyDescent="0.25">
      <c r="A50" s="432" t="s">
        <v>4</v>
      </c>
      <c r="B50" s="549">
        <f t="shared" ref="B50:I50" si="3">SUM(B45:B49)</f>
        <v>32246506.4111728</v>
      </c>
      <c r="C50" s="549">
        <f t="shared" si="3"/>
        <v>8275156.5386646995</v>
      </c>
      <c r="D50" s="549">
        <f t="shared" si="3"/>
        <v>11641122.60261219</v>
      </c>
      <c r="E50" s="549">
        <f t="shared" si="3"/>
        <v>22235624.622943193</v>
      </c>
      <c r="F50" s="549">
        <f t="shared" si="3"/>
        <v>14348961.33803962</v>
      </c>
      <c r="G50" s="549">
        <f t="shared" si="3"/>
        <v>29669348.205514275</v>
      </c>
      <c r="H50" s="550">
        <f t="shared" si="3"/>
        <v>1</v>
      </c>
      <c r="I50" s="549">
        <f t="shared" si="3"/>
        <v>2577158.1881040158</v>
      </c>
      <c r="J50" s="551"/>
    </row>
    <row r="52" spans="1:10" s="425" customFormat="1" ht="15.75" x14ac:dyDescent="0.25">
      <c r="A52" s="430" t="s">
        <v>79</v>
      </c>
      <c r="B52" s="431"/>
      <c r="C52" s="431"/>
      <c r="D52" s="431"/>
      <c r="E52" s="431"/>
      <c r="F52" s="431"/>
      <c r="G52" s="431"/>
      <c r="H52" s="431"/>
      <c r="I52" s="431"/>
      <c r="J52" s="431"/>
    </row>
    <row r="53" spans="1:10" ht="13.5" thickBot="1" x14ac:dyDescent="0.25"/>
    <row r="54" spans="1:10" ht="27.75" customHeight="1" thickBot="1" x14ac:dyDescent="0.25">
      <c r="A54" s="1"/>
      <c r="B54" s="1"/>
      <c r="C54" s="534" t="s">
        <v>46</v>
      </c>
      <c r="D54" s="535"/>
      <c r="E54" s="535"/>
      <c r="F54" s="536"/>
      <c r="G54" s="1"/>
      <c r="H54" s="1"/>
      <c r="I54" s="1"/>
      <c r="J54" s="1"/>
    </row>
    <row r="55" spans="1:10" ht="26.25" thickBot="1" x14ac:dyDescent="0.25">
      <c r="A55" s="530" t="s">
        <v>56</v>
      </c>
      <c r="B55" s="531" t="s">
        <v>112</v>
      </c>
      <c r="C55" s="532" t="s">
        <v>75</v>
      </c>
      <c r="D55" s="532" t="s">
        <v>47</v>
      </c>
      <c r="E55" s="532" t="s">
        <v>48</v>
      </c>
      <c r="F55" s="532" t="s">
        <v>49</v>
      </c>
      <c r="G55" s="531" t="s">
        <v>50</v>
      </c>
      <c r="H55" s="531" t="s">
        <v>51</v>
      </c>
      <c r="I55" s="531" t="s">
        <v>10</v>
      </c>
      <c r="J55" s="533" t="s">
        <v>52</v>
      </c>
    </row>
    <row r="56" spans="1:10" x14ac:dyDescent="0.2">
      <c r="A56" s="537" t="s">
        <v>45</v>
      </c>
      <c r="B56" s="538">
        <v>9294255.0135473348</v>
      </c>
      <c r="C56" s="538">
        <v>3635374.8027116414</v>
      </c>
      <c r="D56" s="538">
        <v>2208419.646955776</v>
      </c>
      <c r="E56" s="538">
        <v>2016658.056107684</v>
      </c>
      <c r="F56" s="538">
        <v>0</v>
      </c>
      <c r="G56" s="538">
        <v>1315625.1390624999</v>
      </c>
      <c r="H56" s="539">
        <f>G56/$G$61</f>
        <v>9.9452322767230747E-2</v>
      </c>
      <c r="I56" s="538">
        <v>118177.36870973151</v>
      </c>
      <c r="J56" s="540">
        <f>SUM(B56:B56)/SUM(C56:G56)-1</f>
        <v>1.2878854482690549E-2</v>
      </c>
    </row>
    <row r="57" spans="1:10" x14ac:dyDescent="0.2">
      <c r="A57" s="541" t="s">
        <v>44</v>
      </c>
      <c r="B57" s="542">
        <v>1966468.5754644494</v>
      </c>
      <c r="C57" s="542">
        <v>0</v>
      </c>
      <c r="D57" s="542">
        <v>2935961.665055797</v>
      </c>
      <c r="E57" s="542">
        <v>2002493.2399390705</v>
      </c>
      <c r="F57" s="542">
        <v>0</v>
      </c>
      <c r="G57" s="542">
        <v>546949.6974375</v>
      </c>
      <c r="H57" s="543">
        <f>G57/$G$61</f>
        <v>4.1345681404168839E-2</v>
      </c>
      <c r="I57" s="542">
        <v>116438.77574372414</v>
      </c>
      <c r="J57" s="544">
        <f>SUM(B57:B57,C61)/SUM(C57:G57)-1</f>
        <v>2.1227016816971256E-2</v>
      </c>
    </row>
    <row r="58" spans="1:10" x14ac:dyDescent="0.2">
      <c r="A58" s="541" t="s">
        <v>43</v>
      </c>
      <c r="B58" s="542">
        <v>2148562.5115293255</v>
      </c>
      <c r="C58" s="542">
        <v>0</v>
      </c>
      <c r="D58" s="542">
        <v>0</v>
      </c>
      <c r="E58" s="542">
        <v>5824290.6358292149</v>
      </c>
      <c r="F58" s="542">
        <v>358.21582107719257</v>
      </c>
      <c r="G58" s="542">
        <v>1343549.7516008748</v>
      </c>
      <c r="H58" s="543">
        <f>G58/$G$61</f>
        <v>0.10156323376828938</v>
      </c>
      <c r="I58" s="542">
        <v>124745.22028973185</v>
      </c>
      <c r="J58" s="544">
        <f>SUM(B58:B58,D61)/SUM(C58:G58)-1</f>
        <v>1.7402589854744521E-2</v>
      </c>
    </row>
    <row r="59" spans="1:10" x14ac:dyDescent="0.2">
      <c r="A59" s="541" t="s">
        <v>42</v>
      </c>
      <c r="B59" s="542">
        <v>711411.95131199656</v>
      </c>
      <c r="C59" s="542">
        <v>0</v>
      </c>
      <c r="D59" s="542">
        <v>0</v>
      </c>
      <c r="E59" s="542">
        <v>0</v>
      </c>
      <c r="F59" s="542">
        <v>6308012.9833835885</v>
      </c>
      <c r="G59" s="542">
        <v>4060505.0706491247</v>
      </c>
      <c r="H59" s="543">
        <f>G59/$G$61</f>
        <v>0.30694659815632308</v>
      </c>
      <c r="I59" s="542">
        <v>186335.82915525488</v>
      </c>
      <c r="J59" s="544">
        <f>SUM(B59:B59,E61)/SUM(C59:G59)-1</f>
        <v>1.7971307778432255E-2</v>
      </c>
    </row>
    <row r="60" spans="1:10" ht="13.5" thickBot="1" x14ac:dyDescent="0.25">
      <c r="A60" s="545" t="s">
        <v>55</v>
      </c>
      <c r="B60" s="546">
        <v>231332.97427724185</v>
      </c>
      <c r="C60" s="546">
        <v>0</v>
      </c>
      <c r="D60" s="546">
        <v>0</v>
      </c>
      <c r="E60" s="546">
        <v>0</v>
      </c>
      <c r="F60" s="546">
        <v>0</v>
      </c>
      <c r="G60" s="546">
        <v>5962072.3208079338</v>
      </c>
      <c r="H60" s="547">
        <f>G60/$G$61</f>
        <v>0.45069216390398792</v>
      </c>
      <c r="I60" s="546">
        <v>577631.85270025639</v>
      </c>
      <c r="J60" s="548">
        <f>SUM(B60:B60,F61)/SUM(C60:G60)-1</f>
        <v>9.6884408908964437E-2</v>
      </c>
    </row>
    <row r="61" spans="1:10" ht="13.5" thickBot="1" x14ac:dyDescent="0.25">
      <c r="A61" s="432" t="s">
        <v>4</v>
      </c>
      <c r="B61" s="549">
        <f t="shared" ref="B61:I61" si="4">SUM(B56:B60)</f>
        <v>14352031.026130348</v>
      </c>
      <c r="C61" s="549">
        <f t="shared" si="4"/>
        <v>3635374.8027116414</v>
      </c>
      <c r="D61" s="549">
        <f t="shared" si="4"/>
        <v>5144381.3120115735</v>
      </c>
      <c r="E61" s="549">
        <f t="shared" si="4"/>
        <v>9843441.9318759702</v>
      </c>
      <c r="F61" s="549">
        <f t="shared" si="4"/>
        <v>6308371.1992046656</v>
      </c>
      <c r="G61" s="549">
        <f t="shared" si="4"/>
        <v>13228701.979557933</v>
      </c>
      <c r="H61" s="550">
        <f t="shared" si="4"/>
        <v>1</v>
      </c>
      <c r="I61" s="549">
        <f t="shared" si="4"/>
        <v>1123329.0465986989</v>
      </c>
      <c r="J61" s="551"/>
    </row>
    <row r="63" spans="1:10" s="425" customFormat="1" ht="15.75" x14ac:dyDescent="0.25">
      <c r="A63" s="430" t="s">
        <v>80</v>
      </c>
      <c r="B63" s="431"/>
      <c r="C63" s="431"/>
      <c r="D63" s="431"/>
      <c r="E63" s="431"/>
      <c r="F63" s="431"/>
      <c r="G63" s="431"/>
      <c r="H63" s="431"/>
      <c r="I63" s="431"/>
      <c r="J63" s="431"/>
    </row>
    <row r="64" spans="1:10" ht="13.5" thickBot="1" x14ac:dyDescent="0.25"/>
    <row r="65" spans="1:10" ht="27.75" customHeight="1" thickBot="1" x14ac:dyDescent="0.25">
      <c r="A65" s="1"/>
      <c r="B65" s="1"/>
      <c r="C65" s="534" t="s">
        <v>46</v>
      </c>
      <c r="D65" s="535"/>
      <c r="E65" s="535"/>
      <c r="F65" s="536"/>
      <c r="G65" s="1"/>
      <c r="H65" s="1"/>
      <c r="I65" s="1"/>
      <c r="J65" s="1"/>
    </row>
    <row r="66" spans="1:10" ht="26.25" thickBot="1" x14ac:dyDescent="0.25">
      <c r="A66" s="530" t="s">
        <v>56</v>
      </c>
      <c r="B66" s="531" t="s">
        <v>112</v>
      </c>
      <c r="C66" s="532" t="s">
        <v>75</v>
      </c>
      <c r="D66" s="532" t="s">
        <v>47</v>
      </c>
      <c r="E66" s="532" t="s">
        <v>48</v>
      </c>
      <c r="F66" s="532" t="s">
        <v>49</v>
      </c>
      <c r="G66" s="531" t="s">
        <v>50</v>
      </c>
      <c r="H66" s="531" t="s">
        <v>51</v>
      </c>
      <c r="I66" s="531" t="s">
        <v>10</v>
      </c>
      <c r="J66" s="533" t="s">
        <v>52</v>
      </c>
    </row>
    <row r="67" spans="1:10" x14ac:dyDescent="0.2">
      <c r="A67" s="537" t="s">
        <v>45</v>
      </c>
      <c r="B67" s="538">
        <v>86023439.038944885</v>
      </c>
      <c r="C67" s="538">
        <v>33931221.644317523</v>
      </c>
      <c r="D67" s="538">
        <v>19784154.998177219</v>
      </c>
      <c r="E67" s="538">
        <v>16641121.388781387</v>
      </c>
      <c r="F67" s="538">
        <v>0</v>
      </c>
      <c r="G67" s="538">
        <v>14052743.541580243</v>
      </c>
      <c r="H67" s="539">
        <f>G67/$G$72</f>
        <v>0.12202378418556464</v>
      </c>
      <c r="I67" s="538">
        <v>1614196.5431781141</v>
      </c>
      <c r="J67" s="540">
        <f>SUM(B67:B67)/SUM(C67:G67)-1</f>
        <v>1.9123468426087697E-2</v>
      </c>
    </row>
    <row r="68" spans="1:10" x14ac:dyDescent="0.2">
      <c r="A68" s="541" t="s">
        <v>44</v>
      </c>
      <c r="B68" s="542">
        <v>15152823.611628931</v>
      </c>
      <c r="C68" s="542">
        <v>0</v>
      </c>
      <c r="D68" s="542">
        <v>25002696.636563811</v>
      </c>
      <c r="E68" s="542">
        <v>16712885.336218428</v>
      </c>
      <c r="F68" s="542">
        <v>0</v>
      </c>
      <c r="G68" s="542">
        <v>6166103.1003067754</v>
      </c>
      <c r="H68" s="543">
        <f>G68/$G$72</f>
        <v>5.3541945866405934E-2</v>
      </c>
      <c r="I68" s="542">
        <v>1202361.1057678205</v>
      </c>
      <c r="J68" s="544">
        <f>SUM(B68:B68,C72)/SUM(C68:G68)-1</f>
        <v>2.5111066601396725E-2</v>
      </c>
    </row>
    <row r="69" spans="1:10" x14ac:dyDescent="0.2">
      <c r="A69" s="541" t="s">
        <v>43</v>
      </c>
      <c r="B69" s="542">
        <v>18394153.890836328</v>
      </c>
      <c r="C69" s="542">
        <v>0</v>
      </c>
      <c r="D69" s="542">
        <v>0</v>
      </c>
      <c r="E69" s="542">
        <v>49967641.904338434</v>
      </c>
      <c r="F69" s="542">
        <v>4292.1857427183741</v>
      </c>
      <c r="G69" s="542">
        <v>12065487.798229381</v>
      </c>
      <c r="H69" s="543">
        <f>G69/$G$72</f>
        <v>0.10476790349360825</v>
      </c>
      <c r="I69" s="542">
        <v>1143585.4753196661</v>
      </c>
      <c r="J69" s="544">
        <f>SUM(B69:B69,D72)/SUM(C69:G69)-1</f>
        <v>1.8433771141000754E-2</v>
      </c>
    </row>
    <row r="70" spans="1:10" x14ac:dyDescent="0.2">
      <c r="A70" s="541" t="s">
        <v>42</v>
      </c>
      <c r="B70" s="542">
        <v>5029020.5750650419</v>
      </c>
      <c r="C70" s="542">
        <v>0</v>
      </c>
      <c r="D70" s="542">
        <v>0</v>
      </c>
      <c r="E70" s="542">
        <v>0</v>
      </c>
      <c r="F70" s="542">
        <v>53049200.477063134</v>
      </c>
      <c r="G70" s="542">
        <v>32772886.830390766</v>
      </c>
      <c r="H70" s="543">
        <f>G70/$G$72</f>
        <v>0.28457586647737526</v>
      </c>
      <c r="I70" s="542">
        <v>2528581.9183718911</v>
      </c>
      <c r="J70" s="544">
        <f>SUM(B70:B70,E72)/SUM(C70:G70)-1</f>
        <v>2.9463066866351806E-2</v>
      </c>
    </row>
    <row r="71" spans="1:10" ht="13.5" thickBot="1" x14ac:dyDescent="0.25">
      <c r="A71" s="545" t="s">
        <v>55</v>
      </c>
      <c r="B71" s="546">
        <v>1704592.7916445998</v>
      </c>
      <c r="C71" s="546">
        <v>0</v>
      </c>
      <c r="D71" s="546">
        <v>0</v>
      </c>
      <c r="E71" s="546">
        <v>0</v>
      </c>
      <c r="F71" s="546">
        <v>0</v>
      </c>
      <c r="G71" s="546">
        <v>50106749.715754673</v>
      </c>
      <c r="H71" s="547">
        <f>G71/$G$72</f>
        <v>0.43509049997704591</v>
      </c>
      <c r="I71" s="546">
        <v>4651335.7051097024</v>
      </c>
      <c r="J71" s="548">
        <f>SUM(B71:B71,F72)/SUM(C71:G71)-1</f>
        <v>9.2828526397777944E-2</v>
      </c>
    </row>
    <row r="72" spans="1:10" ht="13.5" thickBot="1" x14ac:dyDescent="0.25">
      <c r="A72" s="432" t="s">
        <v>4</v>
      </c>
      <c r="B72" s="549">
        <f t="shared" ref="B72:I72" si="5">SUM(B67:B71)</f>
        <v>126304029.9081198</v>
      </c>
      <c r="C72" s="549">
        <f t="shared" si="5"/>
        <v>33931221.644317523</v>
      </c>
      <c r="D72" s="549">
        <f t="shared" si="5"/>
        <v>44786851.634741031</v>
      </c>
      <c r="E72" s="549">
        <f t="shared" si="5"/>
        <v>83321648.62933825</v>
      </c>
      <c r="F72" s="549">
        <f t="shared" si="5"/>
        <v>53053492.662805855</v>
      </c>
      <c r="G72" s="549">
        <f t="shared" si="5"/>
        <v>115163970.98626184</v>
      </c>
      <c r="H72" s="550">
        <f t="shared" si="5"/>
        <v>1</v>
      </c>
      <c r="I72" s="549">
        <f t="shared" si="5"/>
        <v>11140060.747747194</v>
      </c>
      <c r="J72" s="55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1:P23"/>
  <sheetViews>
    <sheetView showGridLines="0" workbookViewId="0"/>
  </sheetViews>
  <sheetFormatPr baseColWidth="10" defaultRowHeight="12.75" x14ac:dyDescent="0.2"/>
  <cols>
    <col min="1" max="1" width="14.140625" customWidth="1"/>
    <col min="2" max="2" width="11.42578125" customWidth="1"/>
    <col min="3" max="3" width="13.42578125" customWidth="1"/>
    <col min="11" max="16" width="12.140625" bestFit="1" customWidth="1"/>
  </cols>
  <sheetData>
    <row r="1" spans="1:16" s="1" customFormat="1" x14ac:dyDescent="0.2"/>
    <row r="2" spans="1:16" s="1" customFormat="1" x14ac:dyDescent="0.2"/>
    <row r="3" spans="1:16" s="1" customFormat="1" x14ac:dyDescent="0.2"/>
    <row r="4" spans="1:16" s="1" customFormat="1" x14ac:dyDescent="0.2"/>
    <row r="5" spans="1:16" s="1" customFormat="1" x14ac:dyDescent="0.2"/>
    <row r="6" spans="1:16" s="4" customFormat="1" ht="63" customHeight="1" x14ac:dyDescent="0.2">
      <c r="A6" s="476" t="s">
        <v>200</v>
      </c>
      <c r="B6" s="476"/>
      <c r="C6" s="476"/>
      <c r="D6" s="476"/>
      <c r="E6" s="476"/>
      <c r="F6" s="476"/>
      <c r="G6" s="476"/>
      <c r="H6" s="476"/>
      <c r="I6" s="476"/>
    </row>
    <row r="7" spans="1:16" ht="13.5" thickBot="1" x14ac:dyDescent="0.25"/>
    <row r="8" spans="1:16" ht="25.5" x14ac:dyDescent="0.2">
      <c r="A8" s="72" t="s">
        <v>58</v>
      </c>
      <c r="B8" s="79" t="s">
        <v>74</v>
      </c>
      <c r="C8" s="73" t="s">
        <v>57</v>
      </c>
      <c r="D8" s="79" t="s">
        <v>16</v>
      </c>
      <c r="E8" s="79" t="s">
        <v>17</v>
      </c>
      <c r="F8" s="79" t="s">
        <v>18</v>
      </c>
      <c r="G8" s="79" t="s">
        <v>19</v>
      </c>
      <c r="H8" s="79" t="s">
        <v>20</v>
      </c>
      <c r="I8" s="84" t="s">
        <v>21</v>
      </c>
    </row>
    <row r="9" spans="1:16" ht="19.5" x14ac:dyDescent="0.2">
      <c r="A9" s="74" t="s">
        <v>11</v>
      </c>
      <c r="B9" s="80" t="s">
        <v>11</v>
      </c>
      <c r="C9" s="75" t="s">
        <v>59</v>
      </c>
      <c r="D9" s="85">
        <v>1</v>
      </c>
      <c r="E9" s="85">
        <v>1</v>
      </c>
      <c r="F9" s="85">
        <v>1</v>
      </c>
      <c r="G9" s="85">
        <v>1</v>
      </c>
      <c r="H9" s="90">
        <v>1</v>
      </c>
      <c r="I9" s="95">
        <v>1</v>
      </c>
      <c r="K9" s="99"/>
      <c r="L9" s="99"/>
      <c r="M9" s="99"/>
      <c r="N9" s="99"/>
      <c r="O9" s="99"/>
      <c r="P9" s="99"/>
    </row>
    <row r="10" spans="1:16" ht="19.5" x14ac:dyDescent="0.2">
      <c r="A10" s="472" t="s">
        <v>12</v>
      </c>
      <c r="B10" s="81" t="s">
        <v>12</v>
      </c>
      <c r="C10" s="76" t="s">
        <v>60</v>
      </c>
      <c r="D10" s="86">
        <f>'IIa. Balances de Potencia'!$G$15/('IIa. Balances de Potencia'!$F$15+'IIa. Balances de Potencia'!$G$15)</f>
        <v>0.27584859860179578</v>
      </c>
      <c r="E10" s="86">
        <f>'IIa. Balances de Potencia'!$G$26/('IIa. Balances de Potencia'!$F$26+'IIa. Balances de Potencia'!$G$26)</f>
        <v>0.28927269673530498</v>
      </c>
      <c r="F10" s="86">
        <f>'IIa. Balances de Potencia'!$G$37/('IIa. Balances de Potencia'!$F$37+'IIa. Balances de Potencia'!$G$37)</f>
        <v>0.37097784224267949</v>
      </c>
      <c r="G10" s="86">
        <f>'IIa. Balances de Potencia'!$G$48/('IIa. Balances de Potencia'!$F$48+'IIa. Balances de Potencia'!$G$48)</f>
        <v>0.36420373568148506</v>
      </c>
      <c r="H10" s="91">
        <f>'IIa. Balances de Potencia'!$G$59/('IIa. Balances de Potencia'!$F$59+'IIa. Balances de Potencia'!$G$59)</f>
        <v>0.3662051727255905</v>
      </c>
      <c r="I10" s="96">
        <f>'IIa. Balances de Potencia'!$G$70/('IIa. Balances de Potencia'!$F$70+'IIa. Balances de Potencia'!$G$70)</f>
        <v>0.36482131361926085</v>
      </c>
      <c r="K10" s="99"/>
      <c r="L10" s="99"/>
      <c r="M10" s="99"/>
      <c r="N10" s="99"/>
      <c r="O10" s="99"/>
      <c r="P10" s="99"/>
    </row>
    <row r="11" spans="1:16" ht="19.5" x14ac:dyDescent="0.2">
      <c r="A11" s="473"/>
      <c r="B11" s="82" t="s">
        <v>11</v>
      </c>
      <c r="C11" s="77" t="s">
        <v>61</v>
      </c>
      <c r="D11" s="87">
        <f>'IIa. Balances de Potencia'!$F$15/('IIa. Balances de Potencia'!$F$15+'IIa. Balances de Potencia'!$G$15)</f>
        <v>0.72415140139820422</v>
      </c>
      <c r="E11" s="87">
        <f>'IIa. Balances de Potencia'!$F$26/('IIa. Balances de Potencia'!$F$26+'IIa. Balances de Potencia'!$G$26)</f>
        <v>0.71072730326469502</v>
      </c>
      <c r="F11" s="87">
        <f>'IIa. Balances de Potencia'!$F$37/('IIa. Balances de Potencia'!$F$37+'IIa. Balances de Potencia'!$G$37)</f>
        <v>0.62902215775732062</v>
      </c>
      <c r="G11" s="87">
        <f>'IIa. Balances de Potencia'!$F$48/('IIa. Balances de Potencia'!$F$48+'IIa. Balances de Potencia'!$G$48)</f>
        <v>0.63579626431851499</v>
      </c>
      <c r="H11" s="92">
        <f>'IIa. Balances de Potencia'!$F$59/('IIa. Balances de Potencia'!$F$59+'IIa. Balances de Potencia'!$G$59)</f>
        <v>0.63379482727440961</v>
      </c>
      <c r="I11" s="97">
        <f>'IIa. Balances de Potencia'!$F$70/('IIa. Balances de Potencia'!$F$70+'IIa. Balances de Potencia'!$G$70)</f>
        <v>0.63517868638073927</v>
      </c>
      <c r="K11" s="99"/>
      <c r="L11" s="99"/>
      <c r="M11" s="99"/>
      <c r="N11" s="99"/>
      <c r="O11" s="99"/>
      <c r="P11" s="99"/>
    </row>
    <row r="12" spans="1:16" ht="18.75" x14ac:dyDescent="0.2">
      <c r="A12" s="472" t="s">
        <v>13</v>
      </c>
      <c r="B12" s="81" t="s">
        <v>13</v>
      </c>
      <c r="C12" s="76" t="s">
        <v>62</v>
      </c>
      <c r="D12" s="86">
        <f>'IIa. Balances de Potencia'!$G$14/SUM('IIa. Balances de Potencia'!$E$14:$G$14)</f>
        <v>0.13252149575786987</v>
      </c>
      <c r="E12" s="86">
        <f>'IIa. Balances de Potencia'!$G$25/SUM('IIa. Balances de Potencia'!$E$25:$G$25)</f>
        <v>0.14418676557211985</v>
      </c>
      <c r="F12" s="86">
        <f>'IIa. Balances de Potencia'!$G$36/SUM('IIa. Balances de Potencia'!$E$36:$G$36)</f>
        <v>0.14354921735557294</v>
      </c>
      <c r="G12" s="86">
        <f>'IIa. Balances de Potencia'!$G$47/SUM('IIa. Balances de Potencia'!$E$47:$G$47)</f>
        <v>0.14614284856550822</v>
      </c>
      <c r="H12" s="91">
        <f>'IIa. Balances de Potencia'!$G$58/SUM('IIa. Balances de Potencia'!$E$58:$G$58)</f>
        <v>0.16843387179441341</v>
      </c>
      <c r="I12" s="96">
        <f>'IIa. Balances de Potencia'!$G$69/SUM('IIa. Balances de Potencia'!$E$69:$G$69)</f>
        <v>0.17451667893060357</v>
      </c>
      <c r="K12" s="99"/>
      <c r="L12" s="99"/>
      <c r="M12" s="99"/>
      <c r="N12" s="99"/>
      <c r="O12" s="99"/>
      <c r="P12" s="99"/>
    </row>
    <row r="13" spans="1:16" ht="18.75" x14ac:dyDescent="0.2">
      <c r="A13" s="474"/>
      <c r="B13" s="81" t="s">
        <v>12</v>
      </c>
      <c r="C13" s="76" t="s">
        <v>63</v>
      </c>
      <c r="D13" s="86">
        <f>'IIa. Balances de Potencia'!$E$14/SUM('IIa. Balances de Potencia'!$E$14:$G$14)*D10</f>
        <v>0.23928151012835136</v>
      </c>
      <c r="E13" s="86">
        <f>'IIa. Balances de Potencia'!$E$25/SUM('IIa. Balances de Potencia'!$E$25:$G$25)*E10</f>
        <v>0.24754891902686993</v>
      </c>
      <c r="F13" s="86">
        <f>'IIa. Balances de Potencia'!$E$36/SUM('IIa. Balances de Potencia'!$E$36:$G$36)*F10</f>
        <v>0.31771407681916702</v>
      </c>
      <c r="G13" s="86">
        <f>'IIa. Balances de Potencia'!$E$47/SUM('IIa. Balances de Potencia'!$E$47:$G$47)*G10</f>
        <v>0.31096253614537234</v>
      </c>
      <c r="H13" s="91">
        <f>'IIa. Balances de Potencia'!$E$58/SUM('IIa. Balances de Potencia'!$E$58:$G$58)*H10</f>
        <v>0.30450853080358969</v>
      </c>
      <c r="I13" s="96">
        <f>'IIa. Balances de Potencia'!$E$69/SUM('IIa. Balances de Potencia'!$E$69:$G$69)*I10</f>
        <v>0.30113627584221775</v>
      </c>
      <c r="K13" s="99"/>
      <c r="L13" s="99"/>
      <c r="M13" s="99"/>
      <c r="N13" s="99"/>
      <c r="O13" s="99"/>
      <c r="P13" s="99"/>
    </row>
    <row r="14" spans="1:16" ht="18.75" x14ac:dyDescent="0.2">
      <c r="A14" s="473"/>
      <c r="B14" s="82" t="s">
        <v>11</v>
      </c>
      <c r="C14" s="77" t="s">
        <v>64</v>
      </c>
      <c r="D14" s="87">
        <f>'IIa. Balances de Potencia'!$F$14/SUM('IIa. Balances de Potencia'!$E$14:$G$14)+'IIa. Balances de Potencia'!$E$14/SUM('IIa. Balances de Potencia'!$E$14:$G$14)*D11</f>
        <v>0.62819699411377894</v>
      </c>
      <c r="E14" s="87">
        <f>'IIa. Balances de Potencia'!$F$25/SUM('IIa. Balances de Potencia'!$E$25:$G$25)+'IIa. Balances de Potencia'!$E$25/SUM('IIa. Balances de Potencia'!$E$25:$G$25)*E11</f>
        <v>0.60826431540101022</v>
      </c>
      <c r="F14" s="87">
        <f>'IIa. Balances de Potencia'!$F$36/SUM('IIa. Balances de Potencia'!$E$36:$G$36)+'IIa. Balances de Potencia'!$E$36/SUM('IIa. Balances de Potencia'!$E$36:$G$36)*F11</f>
        <v>0.53873670582526012</v>
      </c>
      <c r="G14" s="87">
        <f>'IIa. Balances de Potencia'!$F$47/SUM('IIa. Balances de Potencia'!$E$47:$G$47)+'IIa. Balances de Potencia'!$E$47/SUM('IIa. Balances de Potencia'!$E$47:$G$47)*G11</f>
        <v>0.54289461528911931</v>
      </c>
      <c r="H14" s="92">
        <f>'IIa. Balances de Potencia'!$F$58/SUM('IIa. Balances de Potencia'!$E$58:$G$58)+'IIa. Balances de Potencia'!$E$58/SUM('IIa. Balances de Potencia'!$E$58:$G$58)*H11</f>
        <v>0.52705759740199698</v>
      </c>
      <c r="I14" s="97">
        <f>'IIa. Balances de Potencia'!$F$69/SUM('IIa. Balances de Potencia'!$E$69:$G$69)+'IIa. Balances de Potencia'!$E$69/SUM('IIa. Balances de Potencia'!$E$69:$G$69)*I11</f>
        <v>0.52434704522717879</v>
      </c>
      <c r="K14" s="99"/>
      <c r="L14" s="99"/>
      <c r="M14" s="99"/>
      <c r="N14" s="99"/>
      <c r="O14" s="99"/>
      <c r="P14" s="99"/>
    </row>
    <row r="15" spans="1:16" ht="18.75" x14ac:dyDescent="0.2">
      <c r="A15" s="472" t="s">
        <v>14</v>
      </c>
      <c r="B15" s="81" t="s">
        <v>14</v>
      </c>
      <c r="C15" s="76" t="s">
        <v>65</v>
      </c>
      <c r="D15" s="86">
        <f>'IIa. Balances de Potencia'!$G$13/SUM('IIa. Balances de Potencia'!$C$13:$G$13)</f>
        <v>6.4406261106531304E-2</v>
      </c>
      <c r="E15" s="86">
        <f>'IIa. Balances de Potencia'!$G$24/SUM('IIa. Balances de Potencia'!$C$24:$G$24)</f>
        <v>7.2880390985165508E-2</v>
      </c>
      <c r="F15" s="86">
        <f>'IIa. Balances de Potencia'!$G$35/SUM('IIa. Balances de Potencia'!$C$35:$G$35)</f>
        <v>8.5491945195467101E-2</v>
      </c>
      <c r="G15" s="86">
        <f>'IIa. Balances de Potencia'!$G$46/SUM('IIa. Balances de Potencia'!$C$46:$G$46)</f>
        <v>7.8597420735807402E-2</v>
      </c>
      <c r="H15" s="91">
        <f>'IIa. Balances de Potencia'!$G$57/SUM('IIa. Balances de Potencia'!$C$57:$G$57)</f>
        <v>8.8697358584653829E-2</v>
      </c>
      <c r="I15" s="96">
        <f>'IIa. Balances de Potencia'!$G$68/SUM('IIa. Balances de Potencia'!$C$68:$G$68)</f>
        <v>8.5982239221296511E-2</v>
      </c>
      <c r="K15" s="99"/>
      <c r="L15" s="99"/>
      <c r="M15" s="99"/>
      <c r="N15" s="99"/>
      <c r="O15" s="99"/>
      <c r="P15" s="99"/>
    </row>
    <row r="16" spans="1:16" ht="18.75" x14ac:dyDescent="0.2">
      <c r="A16" s="474"/>
      <c r="B16" s="81" t="s">
        <v>13</v>
      </c>
      <c r="C16" s="76" t="s">
        <v>66</v>
      </c>
      <c r="D16" s="86">
        <f>'IIa. Balances de Potencia'!$D$13/SUM('IIa. Balances de Potencia'!$C$13:$G$13)*$D$12</f>
        <v>7.4830138739108737E-2</v>
      </c>
      <c r="E16" s="86">
        <f>'IIa. Balances de Potencia'!$D$24/SUM('IIa. Balances de Potencia'!$C$24:$G$24)*$D$12</f>
        <v>7.3972022473946783E-2</v>
      </c>
      <c r="F16" s="86">
        <f>'IIa. Balances de Potencia'!$D$35/SUM('IIa. Balances de Potencia'!$C$35:$G$35)*$D$12</f>
        <v>7.664053325524571E-2</v>
      </c>
      <c r="G16" s="86">
        <f>'IIa. Balances de Potencia'!$D$46/SUM('IIa. Balances de Potencia'!$C$46:$G$46)*$D$12</f>
        <v>7.3209683620212157E-2</v>
      </c>
      <c r="H16" s="91">
        <f>'IIa. Balances de Potencia'!$D$57/SUM('IIa. Balances de Potencia'!$C$57:$G$57)*$D$12</f>
        <v>7.155233237598474E-2</v>
      </c>
      <c r="I16" s="96">
        <f>'IIa. Balances de Potencia'!$D$68/SUM('IIa. Balances de Potencia'!$C$68:$G$68)*$D$12</f>
        <v>7.4399295662661458E-2</v>
      </c>
      <c r="K16" s="99"/>
      <c r="L16" s="99"/>
      <c r="M16" s="99"/>
      <c r="N16" s="99"/>
      <c r="O16" s="99"/>
      <c r="P16" s="99"/>
    </row>
    <row r="17" spans="1:16" ht="18.75" x14ac:dyDescent="0.2">
      <c r="A17" s="474"/>
      <c r="B17" s="81" t="s">
        <v>12</v>
      </c>
      <c r="C17" s="76" t="s">
        <v>67</v>
      </c>
      <c r="D17" s="86">
        <f>'IIa. Balances de Potencia'!$E$13/SUM('IIa. Balances de Potencia'!$C$13:$G$13)*$D$10+'IIa. Balances de Potencia'!$D$13/SUM('IIa. Balances de Potencia'!$C$13:$G$13)*$D$13</f>
        <v>0.23743409753305844</v>
      </c>
      <c r="E17" s="86">
        <f>'IIa. Balances de Potencia'!$E$24/SUM('IIa. Balances de Potencia'!$C$24:$G$24)*$D$10+'IIa. Balances de Potencia'!$D$24/SUM('IIa. Balances de Potencia'!$C$24:$G$24)*$D$13</f>
        <v>0.23533330350100742</v>
      </c>
      <c r="F17" s="86">
        <f>'IIa. Balances de Potencia'!$E$35/SUM('IIa. Balances de Potencia'!$C$35:$G$35)*$D$10+'IIa. Balances de Potencia'!$D$35/SUM('IIa. Balances de Potencia'!$C$35:$G$35)*$D$13</f>
        <v>0.2311180930640806</v>
      </c>
      <c r="G17" s="86">
        <f>'IIa. Balances de Potencia'!$E$46/SUM('IIa. Balances de Potencia'!$C$46:$G$46)*$D$10+'IIa. Balances de Potencia'!$D$46/SUM('IIa. Balances de Potencia'!$C$46:$G$46)*$D$13</f>
        <v>0.2339666235020052</v>
      </c>
      <c r="H17" s="91">
        <f>'IIa. Balances de Potencia'!$E$57/SUM('IIa. Balances de Potencia'!$C$57:$G$57)*$D$10+'IIa. Balances de Potencia'!$D$57/SUM('IIa. Balances de Potencia'!$C$57:$G$57)*$D$13</f>
        <v>0.23163788813383246</v>
      </c>
      <c r="I17" s="96">
        <f>'IIa. Balances de Potencia'!$E$68/SUM('IIa. Balances de Potencia'!$C$68:$G$68)*$D$10+'IIa. Balances de Potencia'!$D$68/SUM('IIa. Balances de Potencia'!$C$68:$G$68)*$D$13</f>
        <v>0.23160127814168902</v>
      </c>
      <c r="K17" s="99"/>
      <c r="L17" s="99"/>
      <c r="M17" s="99"/>
      <c r="N17" s="99"/>
      <c r="O17" s="99"/>
      <c r="P17" s="99"/>
    </row>
    <row r="18" spans="1:16" ht="18.75" x14ac:dyDescent="0.2">
      <c r="A18" s="473"/>
      <c r="B18" s="82" t="s">
        <v>11</v>
      </c>
      <c r="C18" s="77" t="s">
        <v>68</v>
      </c>
      <c r="D18" s="87">
        <f>'IIa. Balances de Potencia'!$F$13/SUM('IIa. Balances de Potencia'!$C$13:$G$13)+'IIa. Balances de Potencia'!$D$13/SUM('IIa. Balances de Potencia'!$C$13:$G$13)*$D$14+'IIa. Balances de Potencia'!$E$13/SUM('IIa. Balances de Potencia'!$C$13:$G$13)*$D$11</f>
        <v>0.62332950262130171</v>
      </c>
      <c r="E18" s="87">
        <f>'IIa. Balances de Potencia'!$F$24/SUM('IIa. Balances de Potencia'!$C$24:$G$24)+'IIa. Balances de Potencia'!$D$24/SUM('IIa. Balances de Potencia'!$C$24:$G$24)*$D$14+'IIa. Balances de Potencia'!$E$24/SUM('IIa. Balances de Potencia'!$C$24:$G$24)*$D$11</f>
        <v>0.6178142830398804</v>
      </c>
      <c r="F18" s="87">
        <f>'IIa. Balances de Potencia'!$F$35/SUM('IIa. Balances de Potencia'!$C$35:$G$35)+'IIa. Balances de Potencia'!$D$35/SUM('IIa. Balances de Potencia'!$C$35:$G$35)*$D$14+'IIa. Balances de Potencia'!$E$35/SUM('IIa. Balances de Potencia'!$C$35:$G$35)*$D$11</f>
        <v>0.60674942848520663</v>
      </c>
      <c r="G18" s="87">
        <f>'IIa. Balances de Potencia'!$F$46/SUM('IIa. Balances de Potencia'!$C$46:$G$46)+'IIa. Balances de Potencia'!$D$46/SUM('IIa. Balances de Potencia'!$C$46:$G$46)*$D$14+'IIa. Balances de Potencia'!$E$46/SUM('IIa. Balances de Potencia'!$C$46:$G$46)*$D$11</f>
        <v>0.61422627214197512</v>
      </c>
      <c r="H18" s="92">
        <f>'IIa. Balances de Potencia'!$F$57/SUM('IIa. Balances de Potencia'!$C$57:$G$57)+'IIa. Balances de Potencia'!$D$57/SUM('IIa. Balances de Potencia'!$C$57:$G$57)*$D$14+'IIa. Balances de Potencia'!$E$57/SUM('IIa. Balances de Potencia'!$C$57:$G$57)*$D$11</f>
        <v>0.60811242090552897</v>
      </c>
      <c r="I18" s="97">
        <f>'IIa. Balances de Potencia'!$F$68/SUM('IIa. Balances de Potencia'!$C$68:$G$68)+'IIa. Balances de Potencia'!$D$68/SUM('IIa. Balances de Potencia'!$C$68:$G$68)*$D$14+'IIa. Balances de Potencia'!$E$68/SUM('IIa. Balances de Potencia'!$C$68:$G$68)*$D$11</f>
        <v>0.60801718697435292</v>
      </c>
      <c r="K18" s="99"/>
      <c r="L18" s="99"/>
      <c r="M18" s="99"/>
      <c r="N18" s="99"/>
      <c r="O18" s="99"/>
      <c r="P18" s="99"/>
    </row>
    <row r="19" spans="1:16" ht="18.75" x14ac:dyDescent="0.2">
      <c r="A19" s="472" t="s">
        <v>15</v>
      </c>
      <c r="B19" s="81" t="s">
        <v>15</v>
      </c>
      <c r="C19" s="76" t="s">
        <v>69</v>
      </c>
      <c r="D19" s="86">
        <f>'IIa. Balances de Potencia'!$G$12/SUM('IIa. Balances de Potencia'!$C$12:$G$12)</f>
        <v>8.8651253599981369E-2</v>
      </c>
      <c r="E19" s="86">
        <f>'IIa. Balances de Potencia'!$G$23/SUM('IIa. Balances de Potencia'!$C$23:$G$23)</f>
        <v>0.11272761899237438</v>
      </c>
      <c r="F19" s="86">
        <f>'IIa. Balances de Potencia'!$G$34/SUM('IIa. Balances de Potencia'!$C$34:$G$34)</f>
        <v>7.6576102103707827E-2</v>
      </c>
      <c r="G19" s="86">
        <f>'IIa. Balances de Potencia'!$G$45/SUM('IIa. Balances de Potencia'!$C$45:$G$45)</f>
        <v>9.7934893088992739E-2</v>
      </c>
      <c r="H19" s="91">
        <f>'IIa. Balances de Potencia'!$G$56/SUM('IIa. Balances de Potencia'!$C$56:$G$56)</f>
        <v>0.13765347585943394</v>
      </c>
      <c r="I19" s="96">
        <f>'IIa. Balances de Potencia'!$G$67/SUM('IIa. Balances de Potencia'!$C$67:$G$67)</f>
        <v>0.12873773353231208</v>
      </c>
      <c r="K19" s="99"/>
      <c r="L19" s="99"/>
      <c r="M19" s="99"/>
      <c r="N19" s="99"/>
      <c r="O19" s="99"/>
      <c r="P19" s="99"/>
    </row>
    <row r="20" spans="1:16" ht="18.75" x14ac:dyDescent="0.2">
      <c r="A20" s="474"/>
      <c r="B20" s="81" t="s">
        <v>14</v>
      </c>
      <c r="C20" s="76" t="s">
        <v>70</v>
      </c>
      <c r="D20" s="86">
        <f>'IIa. Balances de Potencia'!$C$12/SUM('IIa. Balances de Potencia'!$C$12:$G$12)*D15</f>
        <v>2.7754371875863892E-2</v>
      </c>
      <c r="E20" s="86">
        <f>'IIa. Balances de Potencia'!$C$23/SUM('IIa. Balances de Potencia'!$C$23:$G$23)*E15</f>
        <v>2.9244587097711439E-2</v>
      </c>
      <c r="F20" s="86">
        <f>'IIa. Balances de Potencia'!$C$34/SUM('IIa. Balances de Potencia'!$C$34:$G$34)*F15</f>
        <v>3.6691074886905622E-2</v>
      </c>
      <c r="G20" s="86">
        <f>'IIa. Balances de Potencia'!$C$45/SUM('IIa. Balances de Potencia'!$C$45:$G$45)*G15</f>
        <v>3.2329439654781064E-2</v>
      </c>
      <c r="H20" s="91">
        <f>'IIa. Balances de Potencia'!$C$56/SUM('IIa. Balances de Potencia'!$C$56:$G$56)*H15</f>
        <v>3.3235579019172665E-2</v>
      </c>
      <c r="I20" s="96">
        <f>'IIa. Balances de Potencia'!$C$67/SUM('IIa. Balances de Potencia'!$C$67:$G$67)*I15</f>
        <v>3.51408771461292E-2</v>
      </c>
      <c r="K20" s="99"/>
      <c r="L20" s="99"/>
      <c r="M20" s="99"/>
      <c r="N20" s="99"/>
      <c r="O20" s="99"/>
      <c r="P20" s="99"/>
    </row>
    <row r="21" spans="1:16" ht="18.75" x14ac:dyDescent="0.2">
      <c r="A21" s="474"/>
      <c r="B21" s="81" t="s">
        <v>13</v>
      </c>
      <c r="C21" s="76" t="s">
        <v>71</v>
      </c>
      <c r="D21" s="86">
        <f>'IIa. Balances de Potencia'!$D$12/SUM('IIa. Balances de Potencia'!$C$12:$G$12)*D12+'IIa. Balances de Potencia'!$C$12/SUM('IIa. Balances de Potencia'!$C$12:$G$12)*D16</f>
        <v>6.6986300644503269E-2</v>
      </c>
      <c r="E21" s="86">
        <f>'IIa. Balances de Potencia'!$D$23/SUM('IIa. Balances de Potencia'!$C$23:$G$23)*E12+'IIa. Balances de Potencia'!$C$23/SUM('IIa. Balances de Potencia'!$C$23:$G$23)*E16</f>
        <v>6.5856531112217606E-2</v>
      </c>
      <c r="F21" s="86">
        <f>'IIa. Balances de Potencia'!$D$34/SUM('IIa. Balances de Potencia'!$C$34:$G$34)*F12+'IIa. Balances de Potencia'!$C$34/SUM('IIa. Balances de Potencia'!$C$34:$G$34)*F16</f>
        <v>7.1541387572728293E-2</v>
      </c>
      <c r="G21" s="86">
        <f>'IIa. Balances de Potencia'!$D$45/SUM('IIa. Balances de Potencia'!$C$45:$G$45)*G12+'IIa. Balances de Potencia'!$C$45/SUM('IIa. Balances de Potencia'!$C$45:$G$45)*G16</f>
        <v>6.7869441815501932E-2</v>
      </c>
      <c r="H21" s="91">
        <f>'IIa. Balances de Potencia'!$D$56/SUM('IIa. Balances de Potencia'!$C$56:$G$56)*H12+'IIa. Balances de Potencia'!$C$56/SUM('IIa. Balances de Potencia'!$C$56:$G$56)*H16</f>
        <v>7.0119233416365695E-2</v>
      </c>
      <c r="I21" s="96">
        <f>'IIa. Balances de Potencia'!$D$67/SUM('IIa. Balances de Potencia'!$C$67:$G$67)*I12+'IIa. Balances de Potencia'!$C$67/SUM('IIa. Balances de Potencia'!$C$67:$G$67)*I16</f>
        <v>7.566128093793259E-2</v>
      </c>
      <c r="K21" s="99"/>
      <c r="L21" s="99"/>
      <c r="M21" s="99"/>
      <c r="N21" s="99"/>
      <c r="O21" s="99"/>
      <c r="P21" s="99"/>
    </row>
    <row r="22" spans="1:16" ht="18.75" x14ac:dyDescent="0.2">
      <c r="A22" s="474"/>
      <c r="B22" s="81" t="s">
        <v>12</v>
      </c>
      <c r="C22" s="76" t="s">
        <v>72</v>
      </c>
      <c r="D22" s="86">
        <f>'IIa. Balances de Potencia'!$C$12/SUM('IIa. Balances de Potencia'!$C$12:$G$12)*D17+'IIa. Balances de Potencia'!$D$12/SUM('IIa. Balances de Potencia'!$C$12:$G$12)*D13+'IIa. Balances de Potencia'!$E$12/SUM('IIa. Balances de Potencia'!$C$12:$G$12)*D10</f>
        <v>0.22525452156758519</v>
      </c>
      <c r="E22" s="86">
        <f>'IIa. Balances de Potencia'!$C$23/SUM('IIa. Balances de Potencia'!$C$23:$G$23)*E17+'IIa. Balances de Potencia'!$D$23/SUM('IIa. Balances de Potencia'!$C$23:$G$23)*E13+'IIa. Balances de Potencia'!$E$23/SUM('IIa. Balances de Potencia'!$C$23:$G$23)*E10</f>
        <v>0.22455175115995898</v>
      </c>
      <c r="F22" s="86">
        <f>'IIa. Balances de Potencia'!$C$34/SUM('IIa. Balances de Potencia'!$C$34:$G$34)*F17+'IIa. Balances de Potencia'!$D$34/SUM('IIa. Balances de Potencia'!$C$34:$G$34)*F13+'IIa. Balances de Potencia'!$E$34/SUM('IIa. Balances de Potencia'!$C$34:$G$34)*F10</f>
        <v>0.26820467242622403</v>
      </c>
      <c r="G22" s="86">
        <f>'IIa. Balances de Potencia'!$C$45/SUM('IIa. Balances de Potencia'!$C$45:$G$45)*G17+'IIa. Balances de Potencia'!$D$45/SUM('IIa. Balances de Potencia'!$C$45:$G$45)*G13+'IIa. Balances de Potencia'!$E$45/SUM('IIa. Balances de Potencia'!$C$45:$G$45)*G10</f>
        <v>0.26121020021269836</v>
      </c>
      <c r="H22" s="91">
        <f>'IIa. Balances de Potencia'!$C$56/SUM('IIa. Balances de Potencia'!$C$56:$G$56)*H17+'IIa. Balances de Potencia'!$D$56/SUM('IIa. Balances de Potencia'!$C$56:$G$56)*H13+'IIa. Balances de Potencia'!$E$56/SUM('IIa. Balances de Potencia'!$C$56:$G$56)*H10</f>
        <v>0.24950881245702553</v>
      </c>
      <c r="I22" s="96">
        <f>'IIa. Balances de Potencia'!$C$67/SUM('IIa. Balances de Potencia'!$C$67:$G$67)*I17+'IIa. Balances de Potencia'!$D$67/SUM('IIa. Balances de Potencia'!$C$67:$G$67)*I13+'IIa. Balances de Potencia'!$E$67/SUM('IIa. Balances de Potencia'!$C$67:$G$67)*I10</f>
        <v>0.24689379331662947</v>
      </c>
      <c r="K22" s="99"/>
      <c r="L22" s="99"/>
      <c r="M22" s="99"/>
      <c r="N22" s="99"/>
      <c r="O22" s="99"/>
      <c r="P22" s="99"/>
    </row>
    <row r="23" spans="1:16" ht="19.5" thickBot="1" x14ac:dyDescent="0.25">
      <c r="A23" s="475"/>
      <c r="B23" s="83" t="s">
        <v>11</v>
      </c>
      <c r="C23" s="78" t="s">
        <v>73</v>
      </c>
      <c r="D23" s="88">
        <f>'IIa. Balances de Potencia'!$C$12/SUM('IIa. Balances de Potencia'!$C$12:$G$12)*D18+'IIa. Balances de Potencia'!$D$12/SUM('IIa. Balances de Potencia'!$C$12:$G$12)*D14+'IIa. Balances de Potencia'!$E$12/SUM('IIa. Balances de Potencia'!$C$12:$G$12)*D11+'IIa. Balances de Potencia'!$F$12/SUM('IIa. Balances de Potencia'!$C$12:$G$12)</f>
        <v>0.59135355231206654</v>
      </c>
      <c r="E23" s="88">
        <f>'IIa. Balances de Potencia'!$C$23/SUM('IIa. Balances de Potencia'!$C$23:$G$23)*E18+'IIa. Balances de Potencia'!$D$23/SUM('IIa. Balances de Potencia'!$C$23:$G$23)*E14+'IIa. Balances de Potencia'!$E$23/SUM('IIa. Balances de Potencia'!$C$23:$G$23)*E11+'IIa. Balances de Potencia'!$F$23/SUM('IIa. Balances de Potencia'!$C$23:$G$23)</f>
        <v>0.56761951163773761</v>
      </c>
      <c r="F23" s="88">
        <f>'IIa. Balances de Potencia'!$C$34/SUM('IIa. Balances de Potencia'!$C$34:$G$34)*F18+'IIa. Balances de Potencia'!$D$34/SUM('IIa. Balances de Potencia'!$C$34:$G$34)*F14+'IIa. Balances de Potencia'!$E$34/SUM('IIa. Balances de Potencia'!$C$34:$G$34)*F11+'IIa. Balances de Potencia'!$F$34/SUM('IIa. Balances de Potencia'!$C$34:$G$34)</f>
        <v>0.54698676301043425</v>
      </c>
      <c r="G23" s="88">
        <f>'IIa. Balances de Potencia'!$C$45/SUM('IIa. Balances de Potencia'!$C$45:$G$45)*G18+'IIa. Balances de Potencia'!$D$45/SUM('IIa. Balances de Potencia'!$C$45:$G$45)*G14+'IIa. Balances de Potencia'!$E$45/SUM('IIa. Balances de Potencia'!$C$45:$G$45)*G11+'IIa. Balances de Potencia'!$F$45/SUM('IIa. Balances de Potencia'!$C$45:$G$45)</f>
        <v>0.54065602522802592</v>
      </c>
      <c r="H23" s="93">
        <f>'IIa. Balances de Potencia'!$C$56/SUM('IIa. Balances de Potencia'!$C$56:$G$56)*H18+'IIa. Balances de Potencia'!$D$56/SUM('IIa. Balances de Potencia'!$C$56:$G$56)*H14+'IIa. Balances de Potencia'!$E$56/SUM('IIa. Balances de Potencia'!$C$56:$G$56)*H11+'IIa. Balances de Potencia'!$F$56/SUM('IIa. Balances de Potencia'!$C$56:$G$56)</f>
        <v>0.50948289924800239</v>
      </c>
      <c r="I23" s="98">
        <f>'IIa. Balances de Potencia'!$C$67/SUM('IIa. Balances de Potencia'!$C$67:$G$67)*I18+'IIa. Balances de Potencia'!$D$67/SUM('IIa. Balances de Potencia'!$C$67:$G$67)*I14+'IIa. Balances de Potencia'!$E$67/SUM('IIa. Balances de Potencia'!$C$67:$G$67)*I11+'IIa. Balances de Potencia'!$F$67/SUM('IIa. Balances de Potencia'!$C$67:$G$67)</f>
        <v>0.51356631506699646</v>
      </c>
      <c r="K23" s="99"/>
      <c r="L23" s="99"/>
      <c r="M23" s="99"/>
      <c r="N23" s="99"/>
      <c r="O23" s="99"/>
      <c r="P23" s="99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1:P25"/>
  <sheetViews>
    <sheetView showGridLines="0" workbookViewId="0">
      <selection activeCell="J7" sqref="J7"/>
    </sheetView>
  </sheetViews>
  <sheetFormatPr baseColWidth="10" defaultRowHeight="12.75" x14ac:dyDescent="0.2"/>
  <cols>
    <col min="1" max="1" width="14.140625" customWidth="1"/>
    <col min="2" max="2" width="11.42578125" customWidth="1"/>
    <col min="3" max="3" width="13.42578125" customWidth="1"/>
  </cols>
  <sheetData>
    <row r="1" spans="1:16" s="1" customFormat="1" x14ac:dyDescent="0.2"/>
    <row r="2" spans="1:16" s="1" customFormat="1" x14ac:dyDescent="0.2"/>
    <row r="3" spans="1:16" s="1" customFormat="1" x14ac:dyDescent="0.2"/>
    <row r="4" spans="1:16" s="1" customFormat="1" x14ac:dyDescent="0.2"/>
    <row r="5" spans="1:16" s="1" customFormat="1" x14ac:dyDescent="0.2"/>
    <row r="6" spans="1:16" s="4" customFormat="1" ht="63.75" customHeight="1" x14ac:dyDescent="0.2">
      <c r="A6" s="476" t="s">
        <v>201</v>
      </c>
      <c r="B6" s="476"/>
      <c r="C6" s="476"/>
      <c r="D6" s="476"/>
      <c r="E6" s="476"/>
      <c r="F6" s="476"/>
      <c r="G6" s="476"/>
      <c r="H6" s="476"/>
      <c r="I6" s="476"/>
    </row>
    <row r="7" spans="1:16" ht="13.5" thickBot="1" x14ac:dyDescent="0.25"/>
    <row r="8" spans="1:16" ht="25.5" x14ac:dyDescent="0.2">
      <c r="A8" s="72" t="s">
        <v>58</v>
      </c>
      <c r="B8" s="79" t="s">
        <v>74</v>
      </c>
      <c r="C8" s="73" t="s">
        <v>57</v>
      </c>
      <c r="D8" s="79" t="s">
        <v>16</v>
      </c>
      <c r="E8" s="79" t="s">
        <v>17</v>
      </c>
      <c r="F8" s="79" t="s">
        <v>18</v>
      </c>
      <c r="G8" s="79" t="s">
        <v>19</v>
      </c>
      <c r="H8" s="79" t="s">
        <v>20</v>
      </c>
      <c r="I8" s="84" t="s">
        <v>21</v>
      </c>
    </row>
    <row r="9" spans="1:16" ht="19.5" x14ac:dyDescent="0.2">
      <c r="A9" s="74" t="s">
        <v>11</v>
      </c>
      <c r="B9" s="80" t="s">
        <v>11</v>
      </c>
      <c r="C9" s="75" t="s">
        <v>59</v>
      </c>
      <c r="D9" s="85">
        <v>1</v>
      </c>
      <c r="E9" s="85">
        <v>1</v>
      </c>
      <c r="F9" s="85">
        <v>1</v>
      </c>
      <c r="G9" s="85">
        <v>1</v>
      </c>
      <c r="H9" s="90">
        <v>1</v>
      </c>
      <c r="I9" s="95">
        <v>1</v>
      </c>
      <c r="K9" s="89"/>
      <c r="L9" s="89"/>
      <c r="M9" s="89"/>
      <c r="N9" s="89"/>
      <c r="O9" s="89"/>
      <c r="P9" s="89"/>
    </row>
    <row r="10" spans="1:16" ht="19.5" x14ac:dyDescent="0.2">
      <c r="A10" s="472" t="s">
        <v>12</v>
      </c>
      <c r="B10" s="81" t="s">
        <v>12</v>
      </c>
      <c r="C10" s="76" t="s">
        <v>60</v>
      </c>
      <c r="D10" s="86">
        <f>'IIb. Balances de energía'!$G$15/('IIb. Balances de energía'!$F$15+'IIb. Balances de energía'!$G$15)</f>
        <v>0.35874372597645576</v>
      </c>
      <c r="E10" s="86">
        <f>'IIb. Balances de energía'!$G$26/('IIb. Balances de energía'!$F$26+'IIb. Balances de energía'!$G$26)</f>
        <v>0.36208771949123314</v>
      </c>
      <c r="F10" s="86">
        <f>'IIb. Balances de energía'!$G$37/('IIb. Balances de energía'!$F$37+'IIb. Balances de energía'!$G$37)</f>
        <v>0.37212323006278702</v>
      </c>
      <c r="G10" s="86">
        <f>'IIb. Balances de energía'!$G$48/('IIb. Balances de energía'!$F$48+'IIb. Balances de energía'!$G$48)</f>
        <v>0.38380674850819213</v>
      </c>
      <c r="H10" s="91">
        <f>'IIb. Balances de energía'!$G$59/('IIb. Balances de energía'!$F$59+'IIb. Balances de energía'!$G$59)</f>
        <v>0.3916186526839136</v>
      </c>
      <c r="I10" s="96">
        <f>'IIb. Balances de energía'!$G$70/('IIb. Balances de energía'!$F$70+'IIb. Balances de energía'!$G$70)</f>
        <v>0.38187007399369494</v>
      </c>
      <c r="K10" s="89"/>
      <c r="L10" s="89"/>
      <c r="M10" s="89"/>
      <c r="N10" s="89"/>
      <c r="O10" s="89"/>
      <c r="P10" s="89"/>
    </row>
    <row r="11" spans="1:16" ht="19.5" x14ac:dyDescent="0.2">
      <c r="A11" s="473"/>
      <c r="B11" s="82" t="s">
        <v>11</v>
      </c>
      <c r="C11" s="77" t="s">
        <v>61</v>
      </c>
      <c r="D11" s="87">
        <f>'IIb. Balances de energía'!$F$15/('IIb. Balances de energía'!$F$15+'IIb. Balances de energía'!$G$15)</f>
        <v>0.64125627402354435</v>
      </c>
      <c r="E11" s="87">
        <f>'IIb. Balances de energía'!$F$26/('IIb. Balances de energía'!$F$26+'IIb. Balances de energía'!$G$26)</f>
        <v>0.63791228050876692</v>
      </c>
      <c r="F11" s="87">
        <f>'IIb. Balances de energía'!$F$37/('IIb. Balances de energía'!$F$37+'IIb. Balances de energía'!$G$37)</f>
        <v>0.62787676993721298</v>
      </c>
      <c r="G11" s="87">
        <f>'IIb. Balances de energía'!$F$48/('IIb. Balances de energía'!$F$48+'IIb. Balances de energía'!$G$48)</f>
        <v>0.61619325149180781</v>
      </c>
      <c r="H11" s="92">
        <f>'IIb. Balances de energía'!$F$59/('IIb. Balances de energía'!$F$59+'IIb. Balances de energía'!$G$59)</f>
        <v>0.6083813473160864</v>
      </c>
      <c r="I11" s="97">
        <f>'IIb. Balances de energía'!$F$70/('IIb. Balances de energía'!$F$70+'IIb. Balances de energía'!$G$70)</f>
        <v>0.61812992600630512</v>
      </c>
      <c r="K11" s="89"/>
      <c r="L11" s="89"/>
      <c r="M11" s="89"/>
      <c r="N11" s="89"/>
      <c r="O11" s="89"/>
      <c r="P11" s="89"/>
    </row>
    <row r="12" spans="1:16" ht="18.75" x14ac:dyDescent="0.2">
      <c r="A12" s="472" t="s">
        <v>13</v>
      </c>
      <c r="B12" s="81" t="s">
        <v>13</v>
      </c>
      <c r="C12" s="76" t="s">
        <v>62</v>
      </c>
      <c r="D12" s="86">
        <f>'IIb. Balances de energía'!$G$14/SUM('IIb. Balances de energía'!$E$14:$G$14)</f>
        <v>0.16271796130094249</v>
      </c>
      <c r="E12" s="86">
        <f>'IIb. Balances de energía'!$G$25/SUM('IIb. Balances de energía'!$E$25:$G$25)</f>
        <v>0.16840417482150577</v>
      </c>
      <c r="F12" s="86">
        <f>'IIb. Balances de energía'!$G$36/SUM('IIb. Balances de energía'!$E$36:$G$36)</f>
        <v>0.1769642367215632</v>
      </c>
      <c r="G12" s="86">
        <f>'IIb. Balances de energía'!$G$47/SUM('IIb. Balances de energía'!$E$47:$G$47)</f>
        <v>0.18383425181046098</v>
      </c>
      <c r="H12" s="91">
        <f>'IIb. Balances de energía'!$G$58/SUM('IIb. Balances de energía'!$E$58:$G$58)</f>
        <v>0.18743199316373602</v>
      </c>
      <c r="I12" s="96">
        <f>'IIb. Balances de energía'!$G$69/SUM('IIb. Balances de energía'!$E$69:$G$69)</f>
        <v>0.19448725351533078</v>
      </c>
      <c r="K12" s="89"/>
      <c r="L12" s="89"/>
      <c r="M12" s="89"/>
      <c r="N12" s="89"/>
      <c r="O12" s="89"/>
      <c r="P12" s="89"/>
    </row>
    <row r="13" spans="1:16" ht="18.75" x14ac:dyDescent="0.2">
      <c r="A13" s="474"/>
      <c r="B13" s="81" t="s">
        <v>12</v>
      </c>
      <c r="C13" s="76" t="s">
        <v>63</v>
      </c>
      <c r="D13" s="86">
        <f>'IIb. Balances de energía'!$E$14/SUM('IIb. Balances de energía'!$E$14:$G$14)*D10</f>
        <v>0.30035431181599193</v>
      </c>
      <c r="E13" s="86">
        <f>'IIb. Balances de energía'!$E$25/SUM('IIb. Balances de energía'!$E$25:$G$25)*E10</f>
        <v>0.30109198901584411</v>
      </c>
      <c r="F13" s="86">
        <f>'IIb. Balances de energía'!$E$36/SUM('IIb. Balances de energía'!$E$36:$G$36)*F10</f>
        <v>0.30625226982333814</v>
      </c>
      <c r="G13" s="86">
        <f>'IIb. Balances de energía'!$E$47/SUM('IIb. Balances de energía'!$E$47:$G$47)*G10</f>
        <v>0.31323091923070706</v>
      </c>
      <c r="H13" s="91">
        <f>'IIb. Balances de energía'!$E$58/SUM('IIb. Balances de energía'!$E$58:$G$58)*H10</f>
        <v>0.31819721772335652</v>
      </c>
      <c r="I13" s="96">
        <f>'IIb. Balances de energía'!$E$69/SUM('IIb. Balances de energía'!$E$69:$G$69)*I10</f>
        <v>0.30757479164193885</v>
      </c>
      <c r="K13" s="89"/>
      <c r="L13" s="89"/>
      <c r="M13" s="89"/>
      <c r="N13" s="89"/>
      <c r="O13" s="89"/>
      <c r="P13" s="89"/>
    </row>
    <row r="14" spans="1:16" ht="18.75" x14ac:dyDescent="0.2">
      <c r="A14" s="473"/>
      <c r="B14" s="82" t="s">
        <v>11</v>
      </c>
      <c r="C14" s="77" t="s">
        <v>64</v>
      </c>
      <c r="D14" s="87">
        <f>'IIb. Balances de energía'!$F$14/SUM('IIb. Balances de energía'!$E$14:$G$14)+'IIb. Balances de energía'!$E$14/SUM('IIb. Balances de energía'!$E$14:$G$14)*D11</f>
        <v>0.53692772688306567</v>
      </c>
      <c r="E14" s="87">
        <f>'IIb. Balances de energía'!$F$25/SUM('IIb. Balances de energía'!$E$25:$G$25)+'IIb. Balances de energía'!$E$25/SUM('IIb. Balances de energía'!$E$25:$G$25)*E11</f>
        <v>0.53050383616265018</v>
      </c>
      <c r="F14" s="87">
        <f>'IIb. Balances de energía'!$F$36/SUM('IIb. Balances de energía'!$E$36:$G$36)+'IIb. Balances de energía'!$E$36/SUM('IIb. Balances de energía'!$E$36:$G$36)*F11</f>
        <v>0.51678349345509877</v>
      </c>
      <c r="G14" s="87">
        <f>'IIb. Balances de energía'!$F$47/SUM('IIb. Balances de energía'!$E$47:$G$47)+'IIb. Balances de energía'!$E$47/SUM('IIb. Balances de energía'!$E$47:$G$47)*G11</f>
        <v>0.50293482895883179</v>
      </c>
      <c r="H14" s="92">
        <f>'IIb. Balances de energía'!$F$58/SUM('IIb. Balances de energía'!$E$58:$G$58)+'IIb. Balances de energía'!$E$58/SUM('IIb. Balances de energía'!$E$58:$G$58)*H11</f>
        <v>0.49437078911290755</v>
      </c>
      <c r="I14" s="97">
        <f>'IIb. Balances de energía'!$F$69/SUM('IIb. Balances de energía'!$E$69:$G$69)+'IIb. Balances de energía'!$E$69/SUM('IIb. Balances de energía'!$E$69:$G$69)*I11</f>
        <v>0.4979379548427304</v>
      </c>
      <c r="K14" s="89"/>
      <c r="L14" s="89"/>
      <c r="M14" s="89"/>
      <c r="N14" s="89"/>
      <c r="O14" s="89"/>
      <c r="P14" s="89"/>
    </row>
    <row r="15" spans="1:16" ht="18.75" x14ac:dyDescent="0.2">
      <c r="A15" s="472" t="s">
        <v>14</v>
      </c>
      <c r="B15" s="81" t="s">
        <v>14</v>
      </c>
      <c r="C15" s="76" t="s">
        <v>65</v>
      </c>
      <c r="D15" s="86">
        <f>'IIb. Balances de energía'!$G$13/SUM('IIb. Balances de energía'!$C$13:$G$13)</f>
        <v>8.0233094201883001E-2</v>
      </c>
      <c r="E15" s="86">
        <f>'IIb. Balances de energía'!$G$24/SUM('IIb. Balances de energía'!$C$24:$G$24)</f>
        <v>8.5923044477481197E-2</v>
      </c>
      <c r="F15" s="86">
        <f>'IIb. Balances de energía'!$G$35/SUM('IIb. Balances de energía'!$C$35:$G$35)</f>
        <v>9.4538352625348307E-2</v>
      </c>
      <c r="G15" s="86">
        <f>'IIb. Balances de energía'!$G$46/SUM('IIb. Balances de energía'!$C$46:$G$46)</f>
        <v>9.8933337044303626E-2</v>
      </c>
      <c r="H15" s="91">
        <f>'IIb. Balances de energía'!$G$57/SUM('IIb. Balances de energía'!$C$57:$G$57)</f>
        <v>9.9710000825639855E-2</v>
      </c>
      <c r="I15" s="96">
        <f>'IIb. Balances de energía'!$G$68/SUM('IIb. Balances de energía'!$C$68:$G$68)</f>
        <v>0.12877790518221163</v>
      </c>
      <c r="K15" s="89"/>
      <c r="L15" s="89"/>
      <c r="M15" s="89"/>
      <c r="N15" s="89"/>
      <c r="O15" s="89"/>
      <c r="P15" s="89"/>
    </row>
    <row r="16" spans="1:16" ht="18.75" x14ac:dyDescent="0.2">
      <c r="A16" s="474"/>
      <c r="B16" s="81" t="s">
        <v>13</v>
      </c>
      <c r="C16" s="76" t="s">
        <v>66</v>
      </c>
      <c r="D16" s="86">
        <f>'IIb. Balances de energía'!$D$13/SUM('IIb. Balances de energía'!$C$13:$G$13)*$D$12</f>
        <v>8.8738330387242242E-2</v>
      </c>
      <c r="E16" s="86">
        <f>'IIb. Balances de energía'!$D$24/SUM('IIb. Balances de energía'!$C$24:$G$24)*$D$12</f>
        <v>8.9146904030238325E-2</v>
      </c>
      <c r="F16" s="86">
        <f>'IIb. Balances de energía'!$D$35/SUM('IIb. Balances de energía'!$C$35:$G$35)*$D$12</f>
        <v>8.7915727674951122E-2</v>
      </c>
      <c r="G16" s="86">
        <f>'IIb. Balances de energía'!$D$46/SUM('IIb. Balances de energía'!$C$46:$G$46)*$D$12</f>
        <v>8.7524530558108035E-2</v>
      </c>
      <c r="H16" s="91">
        <f>'IIb. Balances de energía'!$D$57/SUM('IIb. Balances de energía'!$C$57:$G$57)*$D$12</f>
        <v>8.7091788340236675E-2</v>
      </c>
      <c r="I16" s="96">
        <f>'IIb. Balances de energía'!$D$68/SUM('IIb. Balances de energía'!$C$68:$G$68)*$D$12</f>
        <v>8.4967515606800451E-2</v>
      </c>
      <c r="K16" s="89"/>
      <c r="L16" s="89"/>
      <c r="M16" s="89"/>
      <c r="N16" s="89"/>
      <c r="O16" s="89"/>
      <c r="P16" s="89"/>
    </row>
    <row r="17" spans="1:16" ht="18.75" x14ac:dyDescent="0.2">
      <c r="A17" s="474"/>
      <c r="B17" s="81" t="s">
        <v>12</v>
      </c>
      <c r="C17" s="76" t="s">
        <v>67</v>
      </c>
      <c r="D17" s="86">
        <f>'IIb. Balances de energía'!$E$13/SUM('IIb. Balances de energía'!$C$13:$G$13)*$D$10+'IIb. Balances de energía'!$D$13/SUM('IIb. Balances de energía'!$C$13:$G$13)*$D$13</f>
        <v>0.29811790743919314</v>
      </c>
      <c r="E17" s="86">
        <f>'IIb. Balances de energía'!$E$24/SUM('IIb. Balances de energía'!$C$24:$G$24)*$D$10+'IIb. Balances de energía'!$D$24/SUM('IIb. Balances de energía'!$C$24:$G$24)*$D$13</f>
        <v>0.29593006166160279</v>
      </c>
      <c r="F17" s="86">
        <f>'IIb. Balances de energía'!$E$35/SUM('IIb. Balances de energía'!$C$35:$G$35)*$D$10+'IIb. Balances de energía'!$D$35/SUM('IIb. Balances de energía'!$C$35:$G$35)*$D$13</f>
        <v>0.2932811669766523</v>
      </c>
      <c r="G17" s="86">
        <f>'IIb. Balances de energía'!$E$46/SUM('IIb. Balances de energía'!$C$46:$G$46)*$D$10+'IIb. Balances de energía'!$D$46/SUM('IIb. Balances de energía'!$C$46:$G$46)*$D$13</f>
        <v>0.2918448703449823</v>
      </c>
      <c r="H17" s="91">
        <f>'IIb. Balances de energía'!$E$57/SUM('IIb. Balances de energía'!$C$57:$G$57)*$D$10+'IIb. Balances de energía'!$D$57/SUM('IIb. Balances de energía'!$C$57:$G$57)*$D$13</f>
        <v>0.29172153150832314</v>
      </c>
      <c r="I17" s="96">
        <f>'IIb. Balances de energía'!$E$68/SUM('IIb. Balances de energía'!$C$68:$G$68)*$D$10+'IIb. Balances de energía'!$D$68/SUM('IIb. Balances de energía'!$C$68:$G$68)*$D$13</f>
        <v>0.28205587331640947</v>
      </c>
      <c r="K17" s="89"/>
      <c r="L17" s="89"/>
      <c r="M17" s="89"/>
      <c r="N17" s="89"/>
      <c r="O17" s="89"/>
      <c r="P17" s="89"/>
    </row>
    <row r="18" spans="1:16" ht="18.75" x14ac:dyDescent="0.2">
      <c r="A18" s="473"/>
      <c r="B18" s="82" t="s">
        <v>11</v>
      </c>
      <c r="C18" s="77" t="s">
        <v>68</v>
      </c>
      <c r="D18" s="87">
        <f>'IIb. Balances de energía'!$F$13/SUM('IIb. Balances de energía'!$C$13:$G$13)+'IIb. Balances de energía'!$D$13/SUM('IIb. Balances de energía'!$C$13:$G$13)*$D$14+'IIb. Balances de energía'!$E$13/SUM('IIb. Balances de energía'!$C$13:$G$13)*$D$11</f>
        <v>0.53291066797168152</v>
      </c>
      <c r="E18" s="87">
        <f>'IIb. Balances de energía'!$F$24/SUM('IIb. Balances de energía'!$C$24:$G$24)+'IIb. Balances de energía'!$D$24/SUM('IIb. Balances de energía'!$C$24:$G$24)*$D$14+'IIb. Balances de energía'!$E$24/SUM('IIb. Balances de energía'!$C$24:$G$24)*$D$11</f>
        <v>0.52899998983067764</v>
      </c>
      <c r="F18" s="87">
        <f>'IIb. Balances de energía'!$F$35/SUM('IIb. Balances de energía'!$C$35:$G$35)+'IIb. Balances de energía'!$D$35/SUM('IIb. Balances de energía'!$C$35:$G$35)*$D$14+'IIb. Balances de energía'!$E$35/SUM('IIb. Balances de energía'!$C$35:$G$35)*$D$11</f>
        <v>0.52426475272304829</v>
      </c>
      <c r="G18" s="87">
        <f>'IIb. Balances de energía'!$F$46/SUM('IIb. Balances de energía'!$C$46:$G$46)+'IIb. Balances de energía'!$D$46/SUM('IIb. Balances de energía'!$C$46:$G$46)*$D$14+'IIb. Balances de energía'!$E$46/SUM('IIb. Balances de energía'!$C$46:$G$46)*$D$11</f>
        <v>0.52169726205260614</v>
      </c>
      <c r="H18" s="92">
        <f>'IIb. Balances de energía'!$F$57/SUM('IIb. Balances de energía'!$C$57:$G$57)+'IIb. Balances de energía'!$D$57/SUM('IIb. Balances de energía'!$C$57:$G$57)*$D$14+'IIb. Balances de energía'!$E$57/SUM('IIb. Balances de energía'!$C$57:$G$57)*$D$11</f>
        <v>0.52147667932580044</v>
      </c>
      <c r="I18" s="97">
        <f>'IIb. Balances de energía'!$F$68/SUM('IIb. Balances de energía'!$C$68:$G$68)+'IIb. Balances de energía'!$D$68/SUM('IIb. Balances de energía'!$C$68:$G$68)*$D$14+'IIb. Balances de energía'!$E$68/SUM('IIb. Balances de energía'!$C$68:$G$68)*$D$11</f>
        <v>0.50419870589457849</v>
      </c>
      <c r="K18" s="89"/>
      <c r="L18" s="89"/>
      <c r="M18" s="89"/>
      <c r="N18" s="89"/>
      <c r="O18" s="89"/>
      <c r="P18" s="89"/>
    </row>
    <row r="19" spans="1:16" ht="18.75" x14ac:dyDescent="0.2">
      <c r="A19" s="472" t="s">
        <v>15</v>
      </c>
      <c r="B19" s="81" t="s">
        <v>15</v>
      </c>
      <c r="C19" s="76" t="s">
        <v>69</v>
      </c>
      <c r="D19" s="86">
        <f>'IIb. Balances de energía'!$G$12/SUM('IIb. Balances de energía'!$C$12:$G$12)</f>
        <v>0.10700695290755527</v>
      </c>
      <c r="E19" s="86">
        <f>'IIb. Balances de energía'!$G$23/SUM('IIb. Balances de energía'!$C$23:$G$23)</f>
        <v>0.11720408285006341</v>
      </c>
      <c r="F19" s="86">
        <f>'IIb. Balances de energía'!$G$34/SUM('IIb. Balances de energía'!$C$34:$G$34)</f>
        <v>0.13428589646808162</v>
      </c>
      <c r="G19" s="86">
        <f>'IIb. Balances de energía'!$G$45/SUM('IIb. Balances de energía'!$C$45:$G$45)</f>
        <v>0.14143891150682122</v>
      </c>
      <c r="H19" s="91">
        <f>'IIb. Balances de energía'!$G$56/SUM('IIb. Balances de energía'!$C$56:$G$56)</f>
        <v>0.1433755456289825</v>
      </c>
      <c r="I19" s="96">
        <f>'IIb. Balances de energía'!$G$67/SUM('IIb. Balances de energía'!$C$67:$G$67)</f>
        <v>0.16648347123757606</v>
      </c>
      <c r="K19" s="89"/>
      <c r="L19" s="89"/>
      <c r="M19" s="89"/>
      <c r="N19" s="89"/>
      <c r="O19" s="89"/>
      <c r="P19" s="89"/>
    </row>
    <row r="20" spans="1:16" ht="18.75" x14ac:dyDescent="0.2">
      <c r="A20" s="474"/>
      <c r="B20" s="81" t="s">
        <v>14</v>
      </c>
      <c r="C20" s="76" t="s">
        <v>70</v>
      </c>
      <c r="D20" s="86">
        <f>'IIb. Balances de energía'!$C$12/SUM('IIb. Balances de energía'!$C$12:$G$12)*D15</f>
        <v>3.3009612286175882E-2</v>
      </c>
      <c r="E20" s="86">
        <f>'IIb. Balances de energía'!$C$23/SUM('IIb. Balances de energía'!$C$23:$G$23)*E15</f>
        <v>3.512170422598293E-2</v>
      </c>
      <c r="F20" s="86">
        <f>'IIb. Balances de energía'!$C$34/SUM('IIb. Balances de energía'!$C$34:$G$34)*F15</f>
        <v>3.7960203867805901E-2</v>
      </c>
      <c r="G20" s="86">
        <f>'IIb. Balances de energía'!$C$45/SUM('IIb. Balances de energía'!$C$45:$G$45)*G15</f>
        <v>3.9393569236329092E-2</v>
      </c>
      <c r="H20" s="91">
        <f>'IIb. Balances de energía'!$C$56/SUM('IIb. Balances de energía'!$C$56:$G$56)*H15</f>
        <v>3.9503068588768828E-2</v>
      </c>
      <c r="I20" s="96">
        <f>'IIb. Balances de energía'!$C$67/SUM('IIb. Balances de energía'!$C$67:$G$67)*I15</f>
        <v>5.1766744519994197E-2</v>
      </c>
      <c r="K20" s="89"/>
      <c r="L20" s="89"/>
      <c r="M20" s="89"/>
      <c r="N20" s="89"/>
      <c r="O20" s="89"/>
      <c r="P20" s="89"/>
    </row>
    <row r="21" spans="1:16" ht="18.75" x14ac:dyDescent="0.2">
      <c r="A21" s="474"/>
      <c r="B21" s="81" t="s">
        <v>13</v>
      </c>
      <c r="C21" s="76" t="s">
        <v>71</v>
      </c>
      <c r="D21" s="86">
        <f>'IIb. Balances de energía'!$D$12/SUM('IIb. Balances de energía'!$C$12:$G$12)*D12+'IIb. Balances de energía'!$C$12/SUM('IIb. Balances de energía'!$C$12:$G$12)*D16</f>
        <v>7.7921360063677364E-2</v>
      </c>
      <c r="E21" s="86">
        <f>'IIb. Balances de energía'!$D$23/SUM('IIb. Balances de energía'!$C$23:$G$23)*E12+'IIb. Balances de energía'!$C$23/SUM('IIb. Balances de energía'!$C$23:$G$23)*E16</f>
        <v>7.8644353853282722E-2</v>
      </c>
      <c r="F21" s="86">
        <f>'IIb. Balances de energía'!$D$34/SUM('IIb. Balances de energía'!$C$34:$G$34)*F12+'IIb. Balances de energía'!$C$34/SUM('IIb. Balances de energía'!$C$34:$G$34)*F16</f>
        <v>7.8384718773718165E-2</v>
      </c>
      <c r="G21" s="86">
        <f>'IIb. Balances de energía'!$D$45/SUM('IIb. Balances de energía'!$C$45:$G$45)*G12+'IIb. Balances de energía'!$C$45/SUM('IIb. Balances de energía'!$C$45:$G$45)*G16</f>
        <v>7.9165197350233779E-2</v>
      </c>
      <c r="H21" s="91">
        <f>'IIb. Balances de energía'!$D$56/SUM('IIb. Balances de energía'!$C$56:$G$56)*H12+'IIb. Balances de energía'!$C$56/SUM('IIb. Balances de energía'!$C$56:$G$56)*H16</f>
        <v>7.9613514325160922E-2</v>
      </c>
      <c r="I21" s="96">
        <f>'IIb. Balances de energía'!$D$67/SUM('IIb. Balances de energía'!$C$67:$G$67)*I12+'IIb. Balances de energía'!$C$67/SUM('IIb. Balances de energía'!$C$67:$G$67)*I16</f>
        <v>7.974029203341268E-2</v>
      </c>
      <c r="K21" s="89"/>
      <c r="L21" s="89"/>
      <c r="M21" s="89"/>
      <c r="N21" s="89"/>
      <c r="O21" s="89"/>
      <c r="P21" s="89"/>
    </row>
    <row r="22" spans="1:16" ht="18.75" x14ac:dyDescent="0.2">
      <c r="A22" s="474"/>
      <c r="B22" s="81" t="s">
        <v>12</v>
      </c>
      <c r="C22" s="76" t="s">
        <v>72</v>
      </c>
      <c r="D22" s="86">
        <f>'IIb. Balances de energía'!$C$12/SUM('IIb. Balances de energía'!$C$12:$G$12)*D17+'IIb. Balances de energía'!$D$12/SUM('IIb. Balances de energía'!$C$12:$G$12)*D13+'IIb. Balances de energía'!$E$12/SUM('IIb. Balances de energía'!$C$12:$G$12)*D10</f>
        <v>0.28055250405327797</v>
      </c>
      <c r="E22" s="86">
        <f>'IIb. Balances de energía'!$C$23/SUM('IIb. Balances de energía'!$C$23:$G$23)*E17+'IIb. Balances de energía'!$D$23/SUM('IIb. Balances de energía'!$C$23:$G$23)*E13+'IIb. Balances de energía'!$E$23/SUM('IIb. Balances de energía'!$C$23:$G$23)*E10</f>
        <v>0.27732057059302528</v>
      </c>
      <c r="F22" s="86">
        <f>'IIb. Balances de energía'!$C$34/SUM('IIb. Balances de energía'!$C$34:$G$34)*F17+'IIb. Balances de energía'!$D$34/SUM('IIb. Balances de energía'!$C$34:$G$34)*F13+'IIb. Balances de energía'!$E$34/SUM('IIb. Balances de energía'!$C$34:$G$34)*F10</f>
        <v>0.27445774827336156</v>
      </c>
      <c r="G22" s="86">
        <f>'IIb. Balances de energía'!$C$45/SUM('IIb. Balances de energía'!$C$45:$G$45)*G17+'IIb. Balances de energía'!$D$45/SUM('IIb. Balances de energía'!$C$45:$G$45)*G13+'IIb. Balances de energía'!$E$45/SUM('IIb. Balances de energía'!$C$45:$G$45)*G10</f>
        <v>0.27589113229553869</v>
      </c>
      <c r="H22" s="91">
        <f>'IIb. Balances de energía'!$C$56/SUM('IIb. Balances de energía'!$C$56:$G$56)*H17+'IIb. Balances de energía'!$D$56/SUM('IIb. Balances de energía'!$C$56:$G$56)*H13+'IIb. Balances de energía'!$E$56/SUM('IIb. Balances de energía'!$C$56:$G$56)*H10</f>
        <v>0.27822247173050896</v>
      </c>
      <c r="I22" s="96">
        <f>'IIb. Balances de energía'!$C$67/SUM('IIb. Balances de energía'!$C$67:$G$67)*I17+'IIb. Balances de energía'!$D$67/SUM('IIb. Balances de energía'!$C$67:$G$67)*I13+'IIb. Balances de energía'!$E$67/SUM('IIb. Balances de energía'!$C$67:$G$67)*I10</f>
        <v>0.26075763211343356</v>
      </c>
      <c r="K22" s="89"/>
      <c r="L22" s="89"/>
      <c r="M22" s="89"/>
      <c r="N22" s="89"/>
      <c r="O22" s="89"/>
      <c r="P22" s="89"/>
    </row>
    <row r="23" spans="1:16" ht="19.5" thickBot="1" x14ac:dyDescent="0.25">
      <c r="A23" s="475"/>
      <c r="B23" s="83" t="s">
        <v>11</v>
      </c>
      <c r="C23" s="78" t="s">
        <v>73</v>
      </c>
      <c r="D23" s="88">
        <f>'IIb. Balances de energía'!$C$12/SUM('IIb. Balances de energía'!$C$12:$G$12)*D18+'IIb. Balances de energía'!$D$12/SUM('IIb. Balances de energía'!$C$12:$G$12)*D14+'IIb. Balances de energía'!$E$12/SUM('IIb. Balances de energía'!$C$12:$G$12)*D11+'IIb. Balances de energía'!$F$12/SUM('IIb. Balances de energía'!$C$12:$G$12)</f>
        <v>0.50150957068931346</v>
      </c>
      <c r="E23" s="88">
        <f>'IIb. Balances de energía'!$C$23/SUM('IIb. Balances de energía'!$C$23:$G$23)*E18+'IIb. Balances de energía'!$D$23/SUM('IIb. Balances de energía'!$C$23:$G$23)*E14+'IIb. Balances de energía'!$E$23/SUM('IIb. Balances de energía'!$C$23:$G$23)*E11+'IIb. Balances de energía'!$F$23/SUM('IIb. Balances de energía'!$C$23:$G$23)</f>
        <v>0.49170928847764567</v>
      </c>
      <c r="F23" s="88">
        <f>'IIb. Balances de energía'!$C$34/SUM('IIb. Balances de energía'!$C$34:$G$34)*F18+'IIb. Balances de energía'!$D$34/SUM('IIb. Balances de energía'!$C$34:$G$34)*F14+'IIb. Balances de energía'!$E$34/SUM('IIb. Balances de energía'!$C$34:$G$34)*F11+'IIb. Balances de energía'!$F$34/SUM('IIb. Balances de energía'!$C$34:$G$34)</f>
        <v>0.47491143261703278</v>
      </c>
      <c r="G23" s="88">
        <f>'IIb. Balances de energía'!$C$45/SUM('IIb. Balances de energía'!$C$45:$G$45)*G18+'IIb. Balances de energía'!$D$45/SUM('IIb. Balances de energía'!$C$45:$G$45)*G14+'IIb. Balances de energía'!$E$45/SUM('IIb. Balances de energía'!$C$45:$G$45)*G11+'IIb. Balances de energía'!$F$45/SUM('IIb. Balances de energía'!$C$45:$G$45)</f>
        <v>0.46411118961107722</v>
      </c>
      <c r="H23" s="93">
        <f>'IIb. Balances de energía'!$C$56/SUM('IIb. Balances de energía'!$C$56:$G$56)*H18+'IIb. Balances de energía'!$D$56/SUM('IIb. Balances de energía'!$C$56:$G$56)*H14+'IIb. Balances de energía'!$E$56/SUM('IIb. Balances de energía'!$C$56:$G$56)*H11+'IIb. Balances de energía'!$F$56/SUM('IIb. Balances de energía'!$C$56:$G$56)</f>
        <v>0.45928539972657889</v>
      </c>
      <c r="I23" s="98">
        <f>'IIb. Balances de energía'!$C$67/SUM('IIb. Balances de energía'!$C$67:$G$67)*I18+'IIb. Balances de energía'!$D$67/SUM('IIb. Balances de energía'!$C$67:$G$67)*I14+'IIb. Balances de energía'!$E$67/SUM('IIb. Balances de energía'!$C$67:$G$67)*I11+'IIb. Balances de energía'!$F$67/SUM('IIb. Balances de energía'!$C$67:$G$67)</f>
        <v>0.44125186009558359</v>
      </c>
      <c r="K23" s="89"/>
      <c r="L23" s="89"/>
      <c r="M23" s="89"/>
      <c r="N23" s="89"/>
      <c r="O23" s="89"/>
      <c r="P23" s="89"/>
    </row>
    <row r="25" spans="1:16" x14ac:dyDescent="0.2">
      <c r="D25" s="94"/>
      <c r="E25" s="94"/>
      <c r="F25" s="94"/>
      <c r="G25" s="94"/>
      <c r="H25" s="94"/>
      <c r="I25" s="94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1:R99"/>
  <sheetViews>
    <sheetView showGridLines="0" workbookViewId="0"/>
  </sheetViews>
  <sheetFormatPr baseColWidth="10" defaultRowHeight="12.75" x14ac:dyDescent="0.2"/>
  <cols>
    <col min="1" max="1" width="13.85546875" style="100" customWidth="1"/>
    <col min="2" max="8" width="13.7109375" style="100" customWidth="1"/>
    <col min="9" max="9" width="11.85546875" style="100" bestFit="1" customWidth="1"/>
    <col min="10" max="10" width="13.85546875" style="100" bestFit="1" customWidth="1"/>
    <col min="11" max="11" width="11.42578125" style="100"/>
    <col min="12" max="12" width="11.85546875" style="100" bestFit="1" customWidth="1"/>
    <col min="13" max="16384" width="11.42578125" style="100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413" customFormat="1" ht="30" customHeight="1" x14ac:dyDescent="0.2">
      <c r="A6" s="413" t="s">
        <v>202</v>
      </c>
    </row>
    <row r="7" spans="1:10" ht="7.5" customHeight="1" thickBot="1" x14ac:dyDescent="0.25"/>
    <row r="8" spans="1:10" ht="24" customHeight="1" x14ac:dyDescent="0.2">
      <c r="D8" s="110" t="s">
        <v>25</v>
      </c>
      <c r="E8" s="112" t="s">
        <v>87</v>
      </c>
      <c r="F8" s="113"/>
      <c r="G8" s="113"/>
      <c r="H8" s="114"/>
      <c r="J8" s="477" t="s">
        <v>96</v>
      </c>
    </row>
    <row r="9" spans="1:10" ht="24" customHeight="1" thickBot="1" x14ac:dyDescent="0.25">
      <c r="D9" s="111" t="s">
        <v>15</v>
      </c>
      <c r="E9" s="115" t="s">
        <v>14</v>
      </c>
      <c r="F9" s="116" t="s">
        <v>88</v>
      </c>
      <c r="G9" s="116" t="s">
        <v>89</v>
      </c>
      <c r="H9" s="117" t="s">
        <v>11</v>
      </c>
      <c r="J9" s="478"/>
    </row>
    <row r="10" spans="1:10" s="101" customFormat="1" ht="42" customHeight="1" x14ac:dyDescent="0.2">
      <c r="A10" s="487" t="s">
        <v>90</v>
      </c>
      <c r="B10" s="488"/>
      <c r="C10" s="489"/>
      <c r="D10" s="102">
        <f>'I. Datos de entrada'!C14</f>
        <v>1464739.8760048375</v>
      </c>
      <c r="E10" s="103">
        <f>'I. Datos de entrada'!$C$30*E11</f>
        <v>505269.56201848848</v>
      </c>
      <c r="F10" s="104">
        <f>'I. Datos de entrada'!$C$30*F11</f>
        <v>617492.59105627902</v>
      </c>
      <c r="G10" s="104">
        <f>'I. Datos de entrada'!$C$30*G11</f>
        <v>2157766.9611673765</v>
      </c>
      <c r="H10" s="105">
        <f>'I. Datos de entrada'!$C$30*H11</f>
        <v>2038097.854373524</v>
      </c>
      <c r="J10" s="158">
        <f>SUM(D10:H10)</f>
        <v>6783366.8446205053</v>
      </c>
    </row>
    <row r="11" spans="1:10" s="29" customFormat="1" ht="42" customHeight="1" thickBot="1" x14ac:dyDescent="0.25">
      <c r="A11" s="490" t="s">
        <v>91</v>
      </c>
      <c r="B11" s="491"/>
      <c r="C11" s="492"/>
      <c r="D11" s="106">
        <v>1</v>
      </c>
      <c r="E11" s="107">
        <f>'I. Datos de entrada'!B44</f>
        <v>9.5000000000000001E-2</v>
      </c>
      <c r="F11" s="108">
        <f>'I. Datos de entrada'!B43</f>
        <v>0.11609999999999999</v>
      </c>
      <c r="G11" s="108">
        <f>'I. Datos de entrada'!B42</f>
        <v>0.40570000000000001</v>
      </c>
      <c r="H11" s="109">
        <f>'I. Datos de entrada'!B41</f>
        <v>0.38319999999999999</v>
      </c>
      <c r="J11" s="157"/>
    </row>
    <row r="14" spans="1:10" s="413" customFormat="1" ht="30" customHeight="1" x14ac:dyDescent="0.2">
      <c r="A14" s="413" t="s">
        <v>203</v>
      </c>
    </row>
    <row r="15" spans="1:10" ht="13.5" thickBot="1" x14ac:dyDescent="0.25"/>
    <row r="16" spans="1:10" ht="24" customHeight="1" x14ac:dyDescent="0.2">
      <c r="D16" s="110" t="s">
        <v>25</v>
      </c>
      <c r="E16" s="112" t="s">
        <v>87</v>
      </c>
      <c r="F16" s="113"/>
      <c r="G16" s="113"/>
      <c r="H16" s="114"/>
      <c r="J16" s="477" t="s">
        <v>96</v>
      </c>
    </row>
    <row r="17" spans="1:12" ht="24" customHeight="1" thickBot="1" x14ac:dyDescent="0.25">
      <c r="D17" s="153" t="s">
        <v>15</v>
      </c>
      <c r="E17" s="154" t="s">
        <v>14</v>
      </c>
      <c r="F17" s="155" t="s">
        <v>88</v>
      </c>
      <c r="G17" s="155" t="s">
        <v>89</v>
      </c>
      <c r="H17" s="156" t="s">
        <v>11</v>
      </c>
      <c r="J17" s="478"/>
    </row>
    <row r="18" spans="1:12" ht="13.5" thickBot="1" x14ac:dyDescent="0.25"/>
    <row r="19" spans="1:12" ht="45.75" customHeight="1" x14ac:dyDescent="0.2">
      <c r="A19" s="481" t="s">
        <v>92</v>
      </c>
      <c r="B19" s="482"/>
      <c r="C19" s="483"/>
      <c r="D19" s="119">
        <f>'I. Datos de entrada'!$B$59</f>
        <v>0.75</v>
      </c>
      <c r="E19" s="120">
        <f>'I. Datos de entrada'!$B$58</f>
        <v>0.75</v>
      </c>
      <c r="F19" s="120">
        <f>'I. Datos de entrada'!$B$57</f>
        <v>0.75</v>
      </c>
      <c r="G19" s="120">
        <f>'I. Datos de entrada'!$B$56</f>
        <v>0.75</v>
      </c>
      <c r="H19" s="121">
        <f>'I. Datos de entrada'!$B$55</f>
        <v>1</v>
      </c>
      <c r="J19" s="122">
        <f>J20/SUM(D10:H10)</f>
        <v>0.82511380045698923</v>
      </c>
    </row>
    <row r="20" spans="1:12" ht="42.75" customHeight="1" thickBot="1" x14ac:dyDescent="0.25">
      <c r="A20" s="484" t="s">
        <v>93</v>
      </c>
      <c r="B20" s="485"/>
      <c r="C20" s="486"/>
      <c r="D20" s="123">
        <f>D10*D19</f>
        <v>1098554.9070036281</v>
      </c>
      <c r="E20" s="124">
        <f>E10*E19</f>
        <v>378952.17151386634</v>
      </c>
      <c r="F20" s="124">
        <f>F10*F19</f>
        <v>463119.4432922093</v>
      </c>
      <c r="G20" s="124">
        <f>G10*G19</f>
        <v>1618325.2208755324</v>
      </c>
      <c r="H20" s="125">
        <f>H10*H19</f>
        <v>2038097.854373524</v>
      </c>
      <c r="J20" s="126">
        <f>SUM(D20:H20)</f>
        <v>5597049.59705876</v>
      </c>
    </row>
    <row r="21" spans="1:12" ht="9.75" customHeight="1" thickBot="1" x14ac:dyDescent="0.25">
      <c r="A21" s="127"/>
      <c r="D21" s="127"/>
      <c r="E21" s="127"/>
      <c r="F21" s="127"/>
      <c r="G21" s="127"/>
      <c r="H21" s="127"/>
      <c r="J21" s="127"/>
    </row>
    <row r="22" spans="1:12" ht="43.5" customHeight="1" x14ac:dyDescent="0.2">
      <c r="A22" s="481" t="s">
        <v>94</v>
      </c>
      <c r="B22" s="482"/>
      <c r="C22" s="483"/>
      <c r="D22" s="119">
        <f>1-D19</f>
        <v>0.25</v>
      </c>
      <c r="E22" s="120">
        <f>1-E19</f>
        <v>0.25</v>
      </c>
      <c r="F22" s="120">
        <f>1-F19</f>
        <v>0.25</v>
      </c>
      <c r="G22" s="120">
        <f>1-G19</f>
        <v>0.25</v>
      </c>
      <c r="H22" s="121">
        <f>1-H19</f>
        <v>0</v>
      </c>
      <c r="J22" s="122">
        <f>J23/SUM(D10:H10)</f>
        <v>0.17488619954301082</v>
      </c>
    </row>
    <row r="23" spans="1:12" ht="51.75" customHeight="1" thickBot="1" x14ac:dyDescent="0.25">
      <c r="A23" s="484" t="s">
        <v>95</v>
      </c>
      <c r="B23" s="485"/>
      <c r="C23" s="486"/>
      <c r="D23" s="123">
        <f>D10*D22</f>
        <v>366184.96900120936</v>
      </c>
      <c r="E23" s="124">
        <f>E10*E22</f>
        <v>126317.39050462212</v>
      </c>
      <c r="F23" s="124">
        <f>F10*F22</f>
        <v>154373.14776406976</v>
      </c>
      <c r="G23" s="124">
        <f>G10*G22</f>
        <v>539441.74029184412</v>
      </c>
      <c r="H23" s="125">
        <f>H10*H22</f>
        <v>0</v>
      </c>
      <c r="J23" s="126">
        <f>SUM(D23:H23)</f>
        <v>1186317.2475617453</v>
      </c>
    </row>
    <row r="26" spans="1:12" s="413" customFormat="1" ht="30" customHeight="1" x14ac:dyDescent="0.2">
      <c r="A26" s="413" t="s">
        <v>204</v>
      </c>
    </row>
    <row r="28" spans="1:12" s="415" customFormat="1" ht="16.5" x14ac:dyDescent="0.25">
      <c r="A28" s="414" t="s">
        <v>210</v>
      </c>
    </row>
    <row r="29" spans="1:12" ht="13.5" thickBot="1" x14ac:dyDescent="0.25"/>
    <row r="30" spans="1:12" ht="30" customHeight="1" thickBot="1" x14ac:dyDescent="0.25">
      <c r="B30" s="128" t="s">
        <v>99</v>
      </c>
      <c r="C30" s="129"/>
      <c r="D30" s="130"/>
      <c r="E30" s="130"/>
      <c r="F30" s="129"/>
      <c r="H30" s="128" t="s">
        <v>97</v>
      </c>
      <c r="I30" s="129"/>
      <c r="J30" s="130"/>
      <c r="K30" s="130"/>
      <c r="L30" s="129"/>
    </row>
    <row r="31" spans="1:12" ht="6.75" customHeight="1" thickBot="1" x14ac:dyDescent="0.25"/>
    <row r="32" spans="1:12" ht="21" customHeight="1" x14ac:dyDescent="0.2">
      <c r="A32" s="479" t="s">
        <v>98</v>
      </c>
      <c r="B32" s="164" t="s">
        <v>0</v>
      </c>
      <c r="C32" s="131"/>
      <c r="D32" s="131"/>
      <c r="E32" s="131"/>
      <c r="F32" s="132"/>
      <c r="H32" s="133" t="s">
        <v>0</v>
      </c>
      <c r="I32" s="131"/>
      <c r="J32" s="131"/>
      <c r="K32" s="131"/>
      <c r="L32" s="132"/>
    </row>
    <row r="33" spans="1:12" ht="21" customHeight="1" x14ac:dyDescent="0.2">
      <c r="A33" s="480"/>
      <c r="B33" s="165">
        <v>0</v>
      </c>
      <c r="C33" s="134">
        <v>1</v>
      </c>
      <c r="D33" s="134">
        <v>2</v>
      </c>
      <c r="E33" s="134">
        <v>3</v>
      </c>
      <c r="F33" s="135">
        <v>4</v>
      </c>
      <c r="H33" s="136">
        <v>0</v>
      </c>
      <c r="I33" s="134">
        <v>1</v>
      </c>
      <c r="J33" s="134">
        <v>2</v>
      </c>
      <c r="K33" s="134">
        <v>3</v>
      </c>
      <c r="L33" s="135">
        <v>4</v>
      </c>
    </row>
    <row r="34" spans="1:12" ht="18" customHeight="1" x14ac:dyDescent="0.2">
      <c r="A34" s="161" t="s">
        <v>16</v>
      </c>
      <c r="B34" s="159">
        <f>'I. Datos de entrada'!B70</f>
        <v>0.33500000000000002</v>
      </c>
      <c r="C34" s="137">
        <f>'I. Datos de entrada'!C70</f>
        <v>0.33850000000000002</v>
      </c>
      <c r="D34" s="137">
        <f>'I. Datos de entrada'!D70</f>
        <v>0.32300000000000001</v>
      </c>
      <c r="E34" s="137">
        <f>'I. Datos de entrada'!E70</f>
        <v>0.3145</v>
      </c>
      <c r="F34" s="138">
        <f>'I. Datos de entrada'!F70</f>
        <v>0.32300000000000001</v>
      </c>
      <c r="H34" s="139">
        <f t="shared" ref="H34:H39" si="0">H$20*B34</f>
        <v>682762.78121513058</v>
      </c>
      <c r="I34" s="140">
        <f t="shared" ref="I34:I39" si="1">G$20*C34</f>
        <v>547803.08726636774</v>
      </c>
      <c r="J34" s="140">
        <f t="shared" ref="J34:J39" si="2">F$20*D34</f>
        <v>149587.5801833836</v>
      </c>
      <c r="K34" s="140">
        <f t="shared" ref="K34:K39" si="3">E$20*E34</f>
        <v>119180.45794111096</v>
      </c>
      <c r="L34" s="141">
        <f t="shared" ref="L34:L39" si="4">D$20*F34</f>
        <v>354833.23496217187</v>
      </c>
    </row>
    <row r="35" spans="1:12" ht="18" customHeight="1" x14ac:dyDescent="0.2">
      <c r="A35" s="162" t="s">
        <v>17</v>
      </c>
      <c r="B35" s="159">
        <f>'I. Datos de entrada'!B71</f>
        <v>0.3165</v>
      </c>
      <c r="C35" s="137">
        <f>'I. Datos de entrada'!C71</f>
        <v>0.30549999999999999</v>
      </c>
      <c r="D35" s="137">
        <f>'I. Datos de entrada'!D71</f>
        <v>0.32100000000000001</v>
      </c>
      <c r="E35" s="137">
        <f>'I. Datos de entrada'!E71</f>
        <v>0.28449999999999998</v>
      </c>
      <c r="F35" s="138">
        <f>'I. Datos de entrada'!F71</f>
        <v>0.308</v>
      </c>
      <c r="H35" s="139">
        <f t="shared" si="0"/>
        <v>645057.9709092204</v>
      </c>
      <c r="I35" s="140">
        <f t="shared" si="1"/>
        <v>494398.35497747513</v>
      </c>
      <c r="J35" s="140">
        <f t="shared" si="2"/>
        <v>148661.34129679919</v>
      </c>
      <c r="K35" s="140">
        <f t="shared" si="3"/>
        <v>107811.89279569496</v>
      </c>
      <c r="L35" s="141">
        <f t="shared" si="4"/>
        <v>338354.91135711747</v>
      </c>
    </row>
    <row r="36" spans="1:12" ht="18" customHeight="1" x14ac:dyDescent="0.2">
      <c r="A36" s="162" t="s">
        <v>18</v>
      </c>
      <c r="B36" s="159">
        <f>'I. Datos de entrada'!B72</f>
        <v>0.124</v>
      </c>
      <c r="C36" s="137">
        <f>'I. Datos de entrada'!C72</f>
        <v>0.1925</v>
      </c>
      <c r="D36" s="137">
        <f>'I. Datos de entrada'!D72</f>
        <v>0.2145</v>
      </c>
      <c r="E36" s="137">
        <f>'I. Datos de entrada'!E72</f>
        <v>0.2235</v>
      </c>
      <c r="F36" s="138">
        <f>'I. Datos de entrada'!F72</f>
        <v>0.2175</v>
      </c>
      <c r="H36" s="139">
        <f t="shared" si="0"/>
        <v>252724.13394231696</v>
      </c>
      <c r="I36" s="140">
        <f t="shared" si="1"/>
        <v>311527.60501853999</v>
      </c>
      <c r="J36" s="140">
        <f t="shared" si="2"/>
        <v>99339.120586178891</v>
      </c>
      <c r="K36" s="140">
        <f t="shared" si="3"/>
        <v>84695.810333349131</v>
      </c>
      <c r="L36" s="141">
        <f t="shared" si="4"/>
        <v>238935.69227328911</v>
      </c>
    </row>
    <row r="37" spans="1:12" ht="18" customHeight="1" x14ac:dyDescent="0.2">
      <c r="A37" s="162" t="s">
        <v>19</v>
      </c>
      <c r="B37" s="159">
        <f>'I. Datos de entrada'!B73</f>
        <v>0.106</v>
      </c>
      <c r="C37" s="137">
        <f>'I. Datos de entrada'!C73</f>
        <v>0.14899999999999999</v>
      </c>
      <c r="D37" s="137">
        <f>'I. Datos de entrada'!D73</f>
        <v>0.13400000000000001</v>
      </c>
      <c r="E37" s="137">
        <f>'I. Datos de entrada'!E73</f>
        <v>0.158</v>
      </c>
      <c r="F37" s="138">
        <f>'I. Datos de entrada'!F73</f>
        <v>0.13800000000000001</v>
      </c>
      <c r="H37" s="139">
        <f t="shared" si="0"/>
        <v>216038.37256359353</v>
      </c>
      <c r="I37" s="140">
        <f t="shared" si="1"/>
        <v>241130.45791045431</v>
      </c>
      <c r="J37" s="140">
        <f t="shared" si="2"/>
        <v>62058.00540115605</v>
      </c>
      <c r="K37" s="140">
        <f t="shared" si="3"/>
        <v>59874.443099190881</v>
      </c>
      <c r="L37" s="141">
        <f t="shared" si="4"/>
        <v>151600.57716650068</v>
      </c>
    </row>
    <row r="38" spans="1:12" ht="18" customHeight="1" x14ac:dyDescent="0.2">
      <c r="A38" s="162" t="s">
        <v>20</v>
      </c>
      <c r="B38" s="159">
        <f>'I. Datos de entrada'!B74</f>
        <v>8.5000000000000006E-3</v>
      </c>
      <c r="C38" s="137">
        <f>'I. Datos de entrada'!C74</f>
        <v>6.4999999999999997E-3</v>
      </c>
      <c r="D38" s="137">
        <f>'I. Datos de entrada'!D74</f>
        <v>3.0000000000000001E-3</v>
      </c>
      <c r="E38" s="137">
        <f>'I. Datos de entrada'!E74</f>
        <v>5.4999999999999997E-3</v>
      </c>
      <c r="F38" s="138">
        <f>'I. Datos de entrada'!F74</f>
        <v>2E-3</v>
      </c>
      <c r="H38" s="139">
        <f t="shared" si="0"/>
        <v>17323.831762174956</v>
      </c>
      <c r="I38" s="140">
        <f t="shared" si="1"/>
        <v>10519.113935690961</v>
      </c>
      <c r="J38" s="140">
        <f t="shared" si="2"/>
        <v>1389.358329876628</v>
      </c>
      <c r="K38" s="140">
        <f t="shared" si="3"/>
        <v>2084.2369433262647</v>
      </c>
      <c r="L38" s="141">
        <f t="shared" si="4"/>
        <v>2197.1098140072563</v>
      </c>
    </row>
    <row r="39" spans="1:12" ht="18" customHeight="1" thickBot="1" x14ac:dyDescent="0.25">
      <c r="A39" s="163" t="s">
        <v>21</v>
      </c>
      <c r="B39" s="160">
        <f>'I. Datos de entrada'!B75</f>
        <v>0.11</v>
      </c>
      <c r="C39" s="142">
        <f>'I. Datos de entrada'!C75</f>
        <v>8.0000000000000002E-3</v>
      </c>
      <c r="D39" s="142">
        <f>'I. Datos de entrada'!D75</f>
        <v>4.4999999999999997E-3</v>
      </c>
      <c r="E39" s="142">
        <f>'I. Datos de entrada'!E75</f>
        <v>1.4E-2</v>
      </c>
      <c r="F39" s="143">
        <f>'I. Datos de entrada'!F75</f>
        <v>1.15E-2</v>
      </c>
      <c r="H39" s="144">
        <f t="shared" si="0"/>
        <v>224190.76398108763</v>
      </c>
      <c r="I39" s="145">
        <f t="shared" si="1"/>
        <v>12946.601767004258</v>
      </c>
      <c r="J39" s="145">
        <f t="shared" si="2"/>
        <v>2084.0374948149415</v>
      </c>
      <c r="K39" s="145">
        <f t="shared" si="3"/>
        <v>5305.3304011941291</v>
      </c>
      <c r="L39" s="146">
        <f t="shared" si="4"/>
        <v>12633.381430541724</v>
      </c>
    </row>
    <row r="40" spans="1:12" ht="5.0999999999999996" customHeight="1" thickBot="1" x14ac:dyDescent="0.25">
      <c r="B40" s="147"/>
      <c r="C40" s="147"/>
      <c r="D40" s="147"/>
      <c r="E40" s="147"/>
      <c r="F40" s="147"/>
      <c r="H40" s="148"/>
      <c r="I40" s="148"/>
      <c r="J40" s="148"/>
      <c r="K40" s="148"/>
      <c r="L40" s="148"/>
    </row>
    <row r="41" spans="1:12" ht="18" customHeight="1" thickBot="1" x14ac:dyDescent="0.25">
      <c r="A41" s="68" t="s">
        <v>1</v>
      </c>
      <c r="B41" s="166">
        <f>SUM(B34:B40)</f>
        <v>0.99999999999999989</v>
      </c>
      <c r="C41" s="149">
        <f>SUM(C34:C40)</f>
        <v>1</v>
      </c>
      <c r="D41" s="149">
        <f>SUM(D34:D40)</f>
        <v>1</v>
      </c>
      <c r="E41" s="149">
        <f>SUM(E34:E40)</f>
        <v>1</v>
      </c>
      <c r="F41" s="46">
        <f>SUM(F34:F40)</f>
        <v>1</v>
      </c>
      <c r="H41" s="150">
        <f>SUM(H33:H39)</f>
        <v>2038097.854373524</v>
      </c>
      <c r="I41" s="151">
        <f t="shared" ref="I41:L41" si="5">SUM(I33:I39)</f>
        <v>1618326.2208755326</v>
      </c>
      <c r="J41" s="151">
        <f t="shared" si="5"/>
        <v>463121.4432922093</v>
      </c>
      <c r="K41" s="151">
        <f t="shared" si="5"/>
        <v>378955.17151386634</v>
      </c>
      <c r="L41" s="152">
        <f t="shared" si="5"/>
        <v>1098558.9070036281</v>
      </c>
    </row>
    <row r="44" spans="1:12" s="415" customFormat="1" ht="16.5" x14ac:dyDescent="0.25">
      <c r="A44" s="414" t="s">
        <v>211</v>
      </c>
    </row>
    <row r="45" spans="1:12" ht="13.5" thickBot="1" x14ac:dyDescent="0.25"/>
    <row r="46" spans="1:12" ht="30" customHeight="1" thickBot="1" x14ac:dyDescent="0.25">
      <c r="B46" s="128" t="s">
        <v>99</v>
      </c>
      <c r="C46" s="129"/>
      <c r="D46" s="130"/>
      <c r="E46" s="130"/>
      <c r="F46" s="129"/>
      <c r="H46" s="128" t="s">
        <v>97</v>
      </c>
      <c r="I46" s="129"/>
      <c r="J46" s="130"/>
      <c r="K46" s="130"/>
      <c r="L46" s="129"/>
    </row>
    <row r="47" spans="1:12" ht="6.75" customHeight="1" thickBot="1" x14ac:dyDescent="0.25"/>
    <row r="48" spans="1:12" ht="21" customHeight="1" x14ac:dyDescent="0.2">
      <c r="A48" s="479" t="s">
        <v>98</v>
      </c>
      <c r="B48" s="164" t="s">
        <v>0</v>
      </c>
      <c r="C48" s="131"/>
      <c r="D48" s="131"/>
      <c r="E48" s="131"/>
      <c r="F48" s="132"/>
      <c r="H48" s="133" t="s">
        <v>0</v>
      </c>
      <c r="I48" s="131"/>
      <c r="J48" s="131"/>
      <c r="K48" s="131"/>
      <c r="L48" s="132"/>
    </row>
    <row r="49" spans="1:15" ht="21" customHeight="1" x14ac:dyDescent="0.2">
      <c r="A49" s="480"/>
      <c r="B49" s="165">
        <v>0</v>
      </c>
      <c r="C49" s="134">
        <v>1</v>
      </c>
      <c r="D49" s="134">
        <v>2</v>
      </c>
      <c r="E49" s="134">
        <v>3</v>
      </c>
      <c r="F49" s="135">
        <v>4</v>
      </c>
      <c r="H49" s="136">
        <v>0</v>
      </c>
      <c r="I49" s="134">
        <v>1</v>
      </c>
      <c r="J49" s="134">
        <v>2</v>
      </c>
      <c r="K49" s="134">
        <v>3</v>
      </c>
      <c r="L49" s="135">
        <v>4</v>
      </c>
    </row>
    <row r="50" spans="1:15" ht="18" customHeight="1" x14ac:dyDescent="0.2">
      <c r="A50" s="161" t="s">
        <v>16</v>
      </c>
      <c r="B50" s="159">
        <f>'I. Datos de entrada'!B86</f>
        <v>0.33500000000000002</v>
      </c>
      <c r="C50" s="137">
        <f>'I. Datos de entrada'!C86</f>
        <v>0.33850000000000002</v>
      </c>
      <c r="D50" s="137">
        <f>'I. Datos de entrada'!D86</f>
        <v>0.32300000000000001</v>
      </c>
      <c r="E50" s="137">
        <f>'I. Datos de entrada'!E86</f>
        <v>0.3145</v>
      </c>
      <c r="F50" s="138">
        <f>'I. Datos de entrada'!F86</f>
        <v>0.32300000000000001</v>
      </c>
      <c r="H50" s="139">
        <f t="shared" ref="H50:H55" si="6">H$23*B50</f>
        <v>0</v>
      </c>
      <c r="I50" s="140">
        <f t="shared" ref="I50:I55" si="7">G$23*C50</f>
        <v>182601.02908878925</v>
      </c>
      <c r="J50" s="140">
        <f t="shared" ref="J50:J55" si="8">F$23*D50</f>
        <v>49862.526727794531</v>
      </c>
      <c r="K50" s="140">
        <f t="shared" ref="K50:K55" si="9">E$23*E50</f>
        <v>39726.819313703658</v>
      </c>
      <c r="L50" s="141">
        <f t="shared" ref="L50:L55" si="10">D$23*F50</f>
        <v>118277.74498739063</v>
      </c>
    </row>
    <row r="51" spans="1:15" ht="18" customHeight="1" x14ac:dyDescent="0.2">
      <c r="A51" s="162" t="s">
        <v>17</v>
      </c>
      <c r="B51" s="159">
        <f>'I. Datos de entrada'!B87</f>
        <v>0.3165</v>
      </c>
      <c r="C51" s="137">
        <f>'I. Datos de entrada'!C87</f>
        <v>0.30549999999999999</v>
      </c>
      <c r="D51" s="137">
        <f>'I. Datos de entrada'!D87</f>
        <v>0.32100000000000001</v>
      </c>
      <c r="E51" s="137">
        <f>'I. Datos de entrada'!E87</f>
        <v>0.28449999999999998</v>
      </c>
      <c r="F51" s="138">
        <f>'I. Datos de entrada'!F87</f>
        <v>0.308</v>
      </c>
      <c r="H51" s="139">
        <f t="shared" si="6"/>
        <v>0</v>
      </c>
      <c r="I51" s="140">
        <f t="shared" si="7"/>
        <v>164799.45165915837</v>
      </c>
      <c r="J51" s="140">
        <f t="shared" si="8"/>
        <v>49553.780432266394</v>
      </c>
      <c r="K51" s="140">
        <f t="shared" si="9"/>
        <v>35937.29759856499</v>
      </c>
      <c r="L51" s="141">
        <f t="shared" si="10"/>
        <v>112784.97045237248</v>
      </c>
    </row>
    <row r="52" spans="1:15" ht="18" customHeight="1" x14ac:dyDescent="0.2">
      <c r="A52" s="162" t="s">
        <v>18</v>
      </c>
      <c r="B52" s="159">
        <f>'I. Datos de entrada'!B88</f>
        <v>0.124</v>
      </c>
      <c r="C52" s="137">
        <f>'I. Datos de entrada'!C88</f>
        <v>0.1925</v>
      </c>
      <c r="D52" s="137">
        <f>'I. Datos de entrada'!D88</f>
        <v>0.2145</v>
      </c>
      <c r="E52" s="137">
        <f>'I. Datos de entrada'!E88</f>
        <v>0.2235</v>
      </c>
      <c r="F52" s="138">
        <f>'I. Datos de entrada'!F88</f>
        <v>0.2175</v>
      </c>
      <c r="H52" s="139">
        <f t="shared" si="6"/>
        <v>0</v>
      </c>
      <c r="I52" s="140">
        <f t="shared" si="7"/>
        <v>103842.53500618</v>
      </c>
      <c r="J52" s="140">
        <f t="shared" si="8"/>
        <v>33113.040195392961</v>
      </c>
      <c r="K52" s="140">
        <f t="shared" si="9"/>
        <v>28231.936777783045</v>
      </c>
      <c r="L52" s="141">
        <f t="shared" si="10"/>
        <v>79645.230757763042</v>
      </c>
    </row>
    <row r="53" spans="1:15" ht="18" customHeight="1" x14ac:dyDescent="0.2">
      <c r="A53" s="162" t="s">
        <v>19</v>
      </c>
      <c r="B53" s="159">
        <f>'I. Datos de entrada'!B89</f>
        <v>0.106</v>
      </c>
      <c r="C53" s="137">
        <f>'I. Datos de entrada'!C89</f>
        <v>0.14899999999999999</v>
      </c>
      <c r="D53" s="137">
        <f>'I. Datos de entrada'!D89</f>
        <v>0.13400000000000001</v>
      </c>
      <c r="E53" s="137">
        <f>'I. Datos de entrada'!E89</f>
        <v>0.158</v>
      </c>
      <c r="F53" s="138">
        <f>'I. Datos de entrada'!F89</f>
        <v>0.13800000000000001</v>
      </c>
      <c r="H53" s="139">
        <f t="shared" si="6"/>
        <v>0</v>
      </c>
      <c r="I53" s="140">
        <f t="shared" si="7"/>
        <v>80376.819303484765</v>
      </c>
      <c r="J53" s="140">
        <f t="shared" si="8"/>
        <v>20686.001800385347</v>
      </c>
      <c r="K53" s="140">
        <f t="shared" si="9"/>
        <v>19958.147699730296</v>
      </c>
      <c r="L53" s="141">
        <f t="shared" si="10"/>
        <v>50533.525722166894</v>
      </c>
    </row>
    <row r="54" spans="1:15" ht="18" customHeight="1" x14ac:dyDescent="0.2">
      <c r="A54" s="162" t="s">
        <v>20</v>
      </c>
      <c r="B54" s="159">
        <f>'I. Datos de entrada'!B90</f>
        <v>8.5000000000000006E-3</v>
      </c>
      <c r="C54" s="137">
        <f>'I. Datos de entrada'!C90</f>
        <v>6.4999999999999997E-3</v>
      </c>
      <c r="D54" s="137">
        <f>'I. Datos de entrada'!D90</f>
        <v>3.0000000000000001E-3</v>
      </c>
      <c r="E54" s="137">
        <f>'I. Datos de entrada'!E90</f>
        <v>5.4999999999999997E-3</v>
      </c>
      <c r="F54" s="138">
        <f>'I. Datos de entrada'!F90</f>
        <v>2E-3</v>
      </c>
      <c r="H54" s="139">
        <f t="shared" si="6"/>
        <v>0</v>
      </c>
      <c r="I54" s="140">
        <f t="shared" si="7"/>
        <v>3506.3713118969868</v>
      </c>
      <c r="J54" s="140">
        <f t="shared" si="8"/>
        <v>463.11944329220927</v>
      </c>
      <c r="K54" s="140">
        <f t="shared" si="9"/>
        <v>694.74564777542162</v>
      </c>
      <c r="L54" s="141">
        <f t="shared" si="10"/>
        <v>732.36993800241873</v>
      </c>
    </row>
    <row r="55" spans="1:15" ht="18" customHeight="1" thickBot="1" x14ac:dyDescent="0.25">
      <c r="A55" s="163" t="s">
        <v>21</v>
      </c>
      <c r="B55" s="160">
        <f>'I. Datos de entrada'!B91</f>
        <v>0.11</v>
      </c>
      <c r="C55" s="142">
        <f>'I. Datos de entrada'!C91</f>
        <v>8.0000000000000002E-3</v>
      </c>
      <c r="D55" s="142">
        <f>'I. Datos de entrada'!D91</f>
        <v>4.4999999999999997E-3</v>
      </c>
      <c r="E55" s="142">
        <f>'I. Datos de entrada'!E91</f>
        <v>1.4E-2</v>
      </c>
      <c r="F55" s="143">
        <f>'I. Datos de entrada'!F91</f>
        <v>1.15E-2</v>
      </c>
      <c r="H55" s="144">
        <f t="shared" si="6"/>
        <v>0</v>
      </c>
      <c r="I55" s="145">
        <f t="shared" si="7"/>
        <v>4315.5339223347528</v>
      </c>
      <c r="J55" s="145">
        <f t="shared" si="8"/>
        <v>694.67916493831387</v>
      </c>
      <c r="K55" s="145">
        <f t="shared" si="9"/>
        <v>1768.4434670647097</v>
      </c>
      <c r="L55" s="146">
        <f t="shared" si="10"/>
        <v>4211.1271435139079</v>
      </c>
    </row>
    <row r="56" spans="1:15" ht="5.0999999999999996" customHeight="1" thickBot="1" x14ac:dyDescent="0.25">
      <c r="B56" s="147"/>
      <c r="C56" s="147"/>
      <c r="D56" s="147"/>
      <c r="E56" s="147"/>
      <c r="F56" s="147"/>
      <c r="H56" s="148"/>
      <c r="I56" s="148"/>
      <c r="J56" s="148"/>
      <c r="K56" s="148"/>
      <c r="L56" s="148"/>
    </row>
    <row r="57" spans="1:15" ht="18" customHeight="1" thickBot="1" x14ac:dyDescent="0.25">
      <c r="A57" s="68" t="s">
        <v>1</v>
      </c>
      <c r="B57" s="166">
        <f>SUM(B50:B56)</f>
        <v>0.99999999999999989</v>
      </c>
      <c r="C57" s="149">
        <f>SUM(C50:C56)</f>
        <v>1</v>
      </c>
      <c r="D57" s="149">
        <f>SUM(D50:D56)</f>
        <v>1</v>
      </c>
      <c r="E57" s="149">
        <f>SUM(E50:E56)</f>
        <v>1</v>
      </c>
      <c r="F57" s="46">
        <f>SUM(F50:F56)</f>
        <v>1</v>
      </c>
      <c r="H57" s="150">
        <f>SUM(H49:H55)</f>
        <v>0</v>
      </c>
      <c r="I57" s="151">
        <f t="shared" ref="I57:L57" si="11">SUM(I49:I55)</f>
        <v>539442.74029184412</v>
      </c>
      <c r="J57" s="151">
        <f t="shared" si="11"/>
        <v>154375.14776406976</v>
      </c>
      <c r="K57" s="151">
        <f t="shared" si="11"/>
        <v>126320.39050462213</v>
      </c>
      <c r="L57" s="152">
        <f t="shared" si="11"/>
        <v>366188.96900120936</v>
      </c>
    </row>
    <row r="60" spans="1:15" s="413" customFormat="1" ht="30" customHeight="1" x14ac:dyDescent="0.2">
      <c r="A60" s="413" t="s">
        <v>205</v>
      </c>
    </row>
    <row r="61" spans="1:15" x14ac:dyDescent="0.2">
      <c r="A61" s="118"/>
    </row>
    <row r="62" spans="1:15" s="415" customFormat="1" ht="16.5" x14ac:dyDescent="0.25">
      <c r="A62" s="414" t="s">
        <v>212</v>
      </c>
    </row>
    <row r="63" spans="1:15" ht="13.5" thickBot="1" x14ac:dyDescent="0.25">
      <c r="A63" s="118"/>
    </row>
    <row r="64" spans="1:15" ht="36.75" customHeight="1" x14ac:dyDescent="0.2">
      <c r="A64" s="72" t="s">
        <v>58</v>
      </c>
      <c r="B64" s="73" t="s">
        <v>57</v>
      </c>
      <c r="C64" s="79" t="s">
        <v>16</v>
      </c>
      <c r="D64" s="79" t="s">
        <v>17</v>
      </c>
      <c r="E64" s="79" t="s">
        <v>18</v>
      </c>
      <c r="F64" s="79" t="s">
        <v>19</v>
      </c>
      <c r="G64" s="79" t="s">
        <v>20</v>
      </c>
      <c r="H64" s="84" t="s">
        <v>21</v>
      </c>
      <c r="J64" s="168" t="s">
        <v>16</v>
      </c>
      <c r="K64" s="169" t="s">
        <v>17</v>
      </c>
      <c r="L64" s="169" t="s">
        <v>18</v>
      </c>
      <c r="M64" s="169" t="s">
        <v>19</v>
      </c>
      <c r="N64" s="169" t="s">
        <v>20</v>
      </c>
      <c r="O64" s="170" t="s">
        <v>21</v>
      </c>
    </row>
    <row r="65" spans="1:18" ht="19.5" x14ac:dyDescent="0.2">
      <c r="A65" s="167" t="s">
        <v>11</v>
      </c>
      <c r="B65" s="75" t="s">
        <v>59</v>
      </c>
      <c r="C65" s="85">
        <f>'IIIa. Coeficientes Potencia'!D9</f>
        <v>1</v>
      </c>
      <c r="D65" s="85">
        <f>'IIIa. Coeficientes Potencia'!E9</f>
        <v>1</v>
      </c>
      <c r="E65" s="85">
        <f>'IIIa. Coeficientes Potencia'!F9</f>
        <v>1</v>
      </c>
      <c r="F65" s="85">
        <f>'IIIa. Coeficientes Potencia'!G9</f>
        <v>1</v>
      </c>
      <c r="G65" s="90">
        <f>'IIIa. Coeficientes Potencia'!H9</f>
        <v>1</v>
      </c>
      <c r="H65" s="95">
        <f>'IIIa. Coeficientes Potencia'!I9</f>
        <v>1</v>
      </c>
      <c r="J65" s="171">
        <f>$H$34*C65</f>
        <v>682762.78121513058</v>
      </c>
      <c r="K65" s="172">
        <f>$H$35*D65</f>
        <v>645057.9709092204</v>
      </c>
      <c r="L65" s="172">
        <f>$H$36*E65</f>
        <v>252724.13394231696</v>
      </c>
      <c r="M65" s="172">
        <f>$H$37*F65</f>
        <v>216038.37256359353</v>
      </c>
      <c r="N65" s="172">
        <f>$H$38*G65</f>
        <v>17323.831762174956</v>
      </c>
      <c r="O65" s="173">
        <f>$H$39*H65</f>
        <v>224190.76398108763</v>
      </c>
    </row>
    <row r="66" spans="1:18" ht="19.5" x14ac:dyDescent="0.2">
      <c r="A66" s="493" t="s">
        <v>12</v>
      </c>
      <c r="B66" s="76" t="s">
        <v>60</v>
      </c>
      <c r="C66" s="86">
        <f>'IIIa. Coeficientes Potencia'!D10</f>
        <v>0.27584859860179578</v>
      </c>
      <c r="D66" s="86">
        <f>'IIIa. Coeficientes Potencia'!E10</f>
        <v>0.28927269673530498</v>
      </c>
      <c r="E66" s="86">
        <f>'IIIa. Coeficientes Potencia'!F10</f>
        <v>0.37097784224267949</v>
      </c>
      <c r="F66" s="86">
        <f>'IIIa. Coeficientes Potencia'!G10</f>
        <v>0.36420373568148506</v>
      </c>
      <c r="G66" s="91">
        <f>'IIIa. Coeficientes Potencia'!H10</f>
        <v>0.3662051727255905</v>
      </c>
      <c r="H66" s="96">
        <f>'IIIa. Coeficientes Potencia'!I10</f>
        <v>0.36482131361926085</v>
      </c>
      <c r="J66" s="174">
        <f>$I$34*C66</f>
        <v>151110.71393216477</v>
      </c>
      <c r="K66" s="175">
        <f>$I$35*D66</f>
        <v>143015.94540583281</v>
      </c>
      <c r="L66" s="175">
        <f>$I$36*E66</f>
        <v>115569.8387088077</v>
      </c>
      <c r="M66" s="175">
        <f>$I$37*F66</f>
        <v>87820.613557574557</v>
      </c>
      <c r="N66" s="175">
        <f>$I$38*G66</f>
        <v>3852.1539357398742</v>
      </c>
      <c r="O66" s="176">
        <f>$I$39*H66</f>
        <v>4723.1962635439368</v>
      </c>
    </row>
    <row r="67" spans="1:18" ht="19.5" x14ac:dyDescent="0.2">
      <c r="A67" s="495"/>
      <c r="B67" s="77" t="s">
        <v>61</v>
      </c>
      <c r="C67" s="87">
        <f>'IIIa. Coeficientes Potencia'!D11</f>
        <v>0.72415140139820422</v>
      </c>
      <c r="D67" s="87">
        <f>'IIIa. Coeficientes Potencia'!E11</f>
        <v>0.71072730326469502</v>
      </c>
      <c r="E67" s="87">
        <f>'IIIa. Coeficientes Potencia'!F11</f>
        <v>0.62902215775732062</v>
      </c>
      <c r="F67" s="87">
        <f>'IIIa. Coeficientes Potencia'!G11</f>
        <v>0.63579626431851499</v>
      </c>
      <c r="G67" s="92">
        <f>'IIIa. Coeficientes Potencia'!H11</f>
        <v>0.63379482727440961</v>
      </c>
      <c r="H67" s="97">
        <f>'IIIa. Coeficientes Potencia'!I11</f>
        <v>0.63517868638073927</v>
      </c>
      <c r="J67" s="177">
        <f>$I$34*C67</f>
        <v>396692.37333420297</v>
      </c>
      <c r="K67" s="178">
        <f>$I$35*D67</f>
        <v>351382.40957164229</v>
      </c>
      <c r="L67" s="178">
        <f>$I$36*E67</f>
        <v>195957.76630973234</v>
      </c>
      <c r="M67" s="178">
        <f>$I$37*F67</f>
        <v>153309.84435287977</v>
      </c>
      <c r="N67" s="178">
        <f>$I$38*G67</f>
        <v>6666.9599999510874</v>
      </c>
      <c r="O67" s="179">
        <f>$I$39*H67</f>
        <v>8223.4055034603225</v>
      </c>
    </row>
    <row r="68" spans="1:18" ht="18.75" x14ac:dyDescent="0.2">
      <c r="A68" s="493" t="s">
        <v>13</v>
      </c>
      <c r="B68" s="76" t="s">
        <v>62</v>
      </c>
      <c r="C68" s="86">
        <f>'IIIa. Coeficientes Potencia'!D12</f>
        <v>0.13252149575786987</v>
      </c>
      <c r="D68" s="86">
        <f>'IIIa. Coeficientes Potencia'!E12</f>
        <v>0.14418676557211985</v>
      </c>
      <c r="E68" s="86">
        <f>'IIIa. Coeficientes Potencia'!F12</f>
        <v>0.14354921735557294</v>
      </c>
      <c r="F68" s="86">
        <f>'IIIa. Coeficientes Potencia'!G12</f>
        <v>0.14614284856550822</v>
      </c>
      <c r="G68" s="91">
        <f>'IIIa. Coeficientes Potencia'!H12</f>
        <v>0.16843387179441341</v>
      </c>
      <c r="H68" s="96">
        <f>'IIIa. Coeficientes Potencia'!I12</f>
        <v>0.17451667893060357</v>
      </c>
      <c r="J68" s="174">
        <f>$J$34*C68</f>
        <v>19823.56987270229</v>
      </c>
      <c r="K68" s="175">
        <f>$J$35*D68</f>
        <v>21434.997967198484</v>
      </c>
      <c r="L68" s="175">
        <f>$J$36*E68</f>
        <v>14260.053012936864</v>
      </c>
      <c r="M68" s="175">
        <f>$J$37*F68</f>
        <v>9069.3336856186397</v>
      </c>
      <c r="N68" s="175">
        <f>$J$38*G68</f>
        <v>234.0150028109403</v>
      </c>
      <c r="O68" s="176">
        <f>$J$39*H68</f>
        <v>363.69930236195859</v>
      </c>
    </row>
    <row r="69" spans="1:18" ht="18.75" x14ac:dyDescent="0.2">
      <c r="A69" s="494"/>
      <c r="B69" s="76" t="s">
        <v>63</v>
      </c>
      <c r="C69" s="86">
        <f>'IIIa. Coeficientes Potencia'!D13</f>
        <v>0.23928151012835136</v>
      </c>
      <c r="D69" s="86">
        <f>'IIIa. Coeficientes Potencia'!E13</f>
        <v>0.24754891902686993</v>
      </c>
      <c r="E69" s="86">
        <f>'IIIa. Coeficientes Potencia'!F13</f>
        <v>0.31771407681916702</v>
      </c>
      <c r="F69" s="86">
        <f>'IIIa. Coeficientes Potencia'!G13</f>
        <v>0.31096253614537234</v>
      </c>
      <c r="G69" s="91">
        <f>'IIIa. Coeficientes Potencia'!H13</f>
        <v>0.30450853080358969</v>
      </c>
      <c r="H69" s="96">
        <f>'IIIa. Coeficientes Potencia'!I13</f>
        <v>0.30113627584221775</v>
      </c>
      <c r="J69" s="174">
        <f>$J$34*C69</f>
        <v>35793.542082725871</v>
      </c>
      <c r="K69" s="175">
        <f>$J$35*D69</f>
        <v>36800.954339107215</v>
      </c>
      <c r="L69" s="175">
        <f>$J$36*E69</f>
        <v>31561.436989065736</v>
      </c>
      <c r="M69" s="175">
        <f>$J$37*F69</f>
        <v>19297.714747666701</v>
      </c>
      <c r="N69" s="175">
        <f>$J$38*G69</f>
        <v>423.07146379046111</v>
      </c>
      <c r="O69" s="176">
        <f>$J$39*H69</f>
        <v>627.57928990411665</v>
      </c>
    </row>
    <row r="70" spans="1:18" ht="18.75" x14ac:dyDescent="0.2">
      <c r="A70" s="495"/>
      <c r="B70" s="77" t="s">
        <v>64</v>
      </c>
      <c r="C70" s="87">
        <f>'IIIa. Coeficientes Potencia'!D14</f>
        <v>0.62819699411377894</v>
      </c>
      <c r="D70" s="87">
        <f>'IIIa. Coeficientes Potencia'!E14</f>
        <v>0.60826431540101022</v>
      </c>
      <c r="E70" s="87">
        <f>'IIIa. Coeficientes Potencia'!F14</f>
        <v>0.53873670582526012</v>
      </c>
      <c r="F70" s="87">
        <f>'IIIa. Coeficientes Potencia'!G14</f>
        <v>0.54289461528911931</v>
      </c>
      <c r="G70" s="92">
        <f>'IIIa. Coeficientes Potencia'!H14</f>
        <v>0.52705759740199698</v>
      </c>
      <c r="H70" s="97">
        <f>'IIIa. Coeficientes Potencia'!I14</f>
        <v>0.52434704522717879</v>
      </c>
      <c r="J70" s="177">
        <f>$J$34*C70</f>
        <v>93970.468227955469</v>
      </c>
      <c r="K70" s="178">
        <f>$J$35*D70</f>
        <v>90425.388990493491</v>
      </c>
      <c r="L70" s="178">
        <f>$J$36*E70</f>
        <v>53517.630584176302</v>
      </c>
      <c r="M70" s="178">
        <f>$J$37*F70</f>
        <v>33690.956967870705</v>
      </c>
      <c r="N70" s="178">
        <f>$J$38*G70</f>
        <v>732.27186327522668</v>
      </c>
      <c r="O70" s="179">
        <f>$J$39*H70</f>
        <v>1092.7589025488664</v>
      </c>
    </row>
    <row r="71" spans="1:18" ht="18.75" x14ac:dyDescent="0.2">
      <c r="A71" s="493" t="s">
        <v>14</v>
      </c>
      <c r="B71" s="76" t="s">
        <v>65</v>
      </c>
      <c r="C71" s="86">
        <f>'IIIa. Coeficientes Potencia'!D15</f>
        <v>6.4406261106531304E-2</v>
      </c>
      <c r="D71" s="86">
        <f>'IIIa. Coeficientes Potencia'!E15</f>
        <v>7.2880390985165508E-2</v>
      </c>
      <c r="E71" s="86">
        <f>'IIIa. Coeficientes Potencia'!F15</f>
        <v>8.5491945195467101E-2</v>
      </c>
      <c r="F71" s="86">
        <f>'IIIa. Coeficientes Potencia'!G15</f>
        <v>7.8597420735807402E-2</v>
      </c>
      <c r="G71" s="91">
        <f>'IIIa. Coeficientes Potencia'!H15</f>
        <v>8.8697358584653829E-2</v>
      </c>
      <c r="H71" s="96">
        <f>'IIIa. Coeficientes Potencia'!I15</f>
        <v>8.5982239221296511E-2</v>
      </c>
      <c r="J71" s="174">
        <f>$K$34*C71</f>
        <v>7675.9676929511643</v>
      </c>
      <c r="K71" s="175">
        <f>$K$35*D71</f>
        <v>7857.3728998009974</v>
      </c>
      <c r="L71" s="175">
        <f>$K$36*E71</f>
        <v>7240.8095753043599</v>
      </c>
      <c r="M71" s="175">
        <f>$K$37*F71</f>
        <v>4705.9767955892657</v>
      </c>
      <c r="N71" s="175">
        <f>$K$38*G71</f>
        <v>184.86631153759254</v>
      </c>
      <c r="O71" s="176">
        <f>$K$39*H71</f>
        <v>456.1641877034906</v>
      </c>
    </row>
    <row r="72" spans="1:18" ht="18.75" x14ac:dyDescent="0.2">
      <c r="A72" s="494"/>
      <c r="B72" s="76" t="s">
        <v>66</v>
      </c>
      <c r="C72" s="86">
        <f>'IIIa. Coeficientes Potencia'!D16</f>
        <v>7.4830138739108737E-2</v>
      </c>
      <c r="D72" s="86">
        <f>'IIIa. Coeficientes Potencia'!E16</f>
        <v>7.3972022473946783E-2</v>
      </c>
      <c r="E72" s="86">
        <f>'IIIa. Coeficientes Potencia'!F16</f>
        <v>7.664053325524571E-2</v>
      </c>
      <c r="F72" s="86">
        <f>'IIIa. Coeficientes Potencia'!G16</f>
        <v>7.3209683620212157E-2</v>
      </c>
      <c r="G72" s="91">
        <f>'IIIa. Coeficientes Potencia'!H16</f>
        <v>7.155233237598474E-2</v>
      </c>
      <c r="H72" s="96">
        <f>'IIIa. Coeficientes Potencia'!I16</f>
        <v>7.4399295662661458E-2</v>
      </c>
      <c r="J72" s="174">
        <f>$K$34*C72</f>
        <v>8918.290202723847</v>
      </c>
      <c r="K72" s="175">
        <f>$K$35*D72</f>
        <v>7975.0637568418888</v>
      </c>
      <c r="L72" s="175">
        <f>$K$36*E72</f>
        <v>6491.1320684330276</v>
      </c>
      <c r="M72" s="175">
        <f>$K$37*F72</f>
        <v>4383.3890362281591</v>
      </c>
      <c r="N72" s="175">
        <f>$K$38*G72</f>
        <v>149.13201451918735</v>
      </c>
      <c r="O72" s="176">
        <f>$K$39*H72</f>
        <v>394.71284510654834</v>
      </c>
    </row>
    <row r="73" spans="1:18" ht="18.75" x14ac:dyDescent="0.2">
      <c r="A73" s="494"/>
      <c r="B73" s="76" t="s">
        <v>67</v>
      </c>
      <c r="C73" s="86">
        <f>'IIIa. Coeficientes Potencia'!D17</f>
        <v>0.23743409753305844</v>
      </c>
      <c r="D73" s="86">
        <f>'IIIa. Coeficientes Potencia'!E17</f>
        <v>0.23533330350100742</v>
      </c>
      <c r="E73" s="86">
        <f>'IIIa. Coeficientes Potencia'!F17</f>
        <v>0.2311180930640806</v>
      </c>
      <c r="F73" s="86">
        <f>'IIIa. Coeficientes Potencia'!G17</f>
        <v>0.2339666235020052</v>
      </c>
      <c r="G73" s="91">
        <f>'IIIa. Coeficientes Potencia'!H17</f>
        <v>0.23163788813383246</v>
      </c>
      <c r="H73" s="96">
        <f>'IIIa. Coeficientes Potencia'!I17</f>
        <v>0.23160127814168902</v>
      </c>
      <c r="J73" s="174">
        <f>$K$34*C73</f>
        <v>28297.504474824309</v>
      </c>
      <c r="K73" s="175">
        <f>$K$35*D73</f>
        <v>25371.72888830736</v>
      </c>
      <c r="L73" s="175">
        <f>$K$36*E73</f>
        <v>19574.734174760702</v>
      </c>
      <c r="M73" s="175">
        <f>$K$37*F73</f>
        <v>14008.621285980626</v>
      </c>
      <c r="N73" s="175">
        <f>$K$38*G73</f>
        <v>482.78824392261021</v>
      </c>
      <c r="O73" s="176">
        <f>$K$39*H73</f>
        <v>1228.7213018805201</v>
      </c>
    </row>
    <row r="74" spans="1:18" ht="18.75" x14ac:dyDescent="0.2">
      <c r="A74" s="495"/>
      <c r="B74" s="77" t="s">
        <v>68</v>
      </c>
      <c r="C74" s="87">
        <f>'IIIa. Coeficientes Potencia'!D18</f>
        <v>0.62332950262130171</v>
      </c>
      <c r="D74" s="87">
        <f>'IIIa. Coeficientes Potencia'!E18</f>
        <v>0.6178142830398804</v>
      </c>
      <c r="E74" s="87">
        <f>'IIIa. Coeficientes Potencia'!F18</f>
        <v>0.60674942848520663</v>
      </c>
      <c r="F74" s="87">
        <f>'IIIa. Coeficientes Potencia'!G18</f>
        <v>0.61422627214197512</v>
      </c>
      <c r="G74" s="92">
        <f>'IIIa. Coeficientes Potencia'!H18</f>
        <v>0.60811242090552897</v>
      </c>
      <c r="H74" s="97">
        <f>'IIIa. Coeficientes Potencia'!I18</f>
        <v>0.60801718697435292</v>
      </c>
      <c r="J74" s="177">
        <f>$K$34*C74</f>
        <v>74288.695570611657</v>
      </c>
      <c r="K74" s="178">
        <f>$K$35*D74</f>
        <v>66607.727250744734</v>
      </c>
      <c r="L74" s="178">
        <f>$K$36*E74</f>
        <v>51389.134514851045</v>
      </c>
      <c r="M74" s="178">
        <f>$K$37*F74</f>
        <v>36776.455981392821</v>
      </c>
      <c r="N74" s="178">
        <f>$K$38*G74</f>
        <v>1267.4503733468746</v>
      </c>
      <c r="O74" s="179">
        <f>$K$39*H74</f>
        <v>3225.7320665035695</v>
      </c>
    </row>
    <row r="75" spans="1:18" ht="18.75" x14ac:dyDescent="0.2">
      <c r="A75" s="493" t="s">
        <v>15</v>
      </c>
      <c r="B75" s="76" t="s">
        <v>69</v>
      </c>
      <c r="C75" s="86">
        <f>'IIIa. Coeficientes Potencia'!D19</f>
        <v>8.8651253599981369E-2</v>
      </c>
      <c r="D75" s="86">
        <f>'IIIa. Coeficientes Potencia'!E19</f>
        <v>0.11272761899237438</v>
      </c>
      <c r="E75" s="86">
        <f>'IIIa. Coeficientes Potencia'!F19</f>
        <v>7.6576102103707827E-2</v>
      </c>
      <c r="F75" s="86">
        <f>'IIIa. Coeficientes Potencia'!G19</f>
        <v>9.7934893088992739E-2</v>
      </c>
      <c r="G75" s="91">
        <f>'IIIa. Coeficientes Potencia'!H19</f>
        <v>0.13765347585943394</v>
      </c>
      <c r="H75" s="96">
        <f>'IIIa. Coeficientes Potencia'!I19</f>
        <v>0.12873773353231208</v>
      </c>
      <c r="J75" s="174">
        <f>$L$34*C75</f>
        <v>31456.411098333276</v>
      </c>
      <c r="K75" s="175">
        <f>$L$35*D75</f>
        <v>38141.943531663746</v>
      </c>
      <c r="L75" s="175">
        <f>$L$36*E75</f>
        <v>18296.763967739502</v>
      </c>
      <c r="M75" s="175">
        <f>$L$37*F75</f>
        <v>14846.986317030838</v>
      </c>
      <c r="N75" s="175">
        <f>$L$38*G75</f>
        <v>302.43980274297326</v>
      </c>
      <c r="O75" s="176">
        <f>$L$39*H75</f>
        <v>1626.3928922171399</v>
      </c>
      <c r="P75" s="326"/>
      <c r="R75" s="147"/>
    </row>
    <row r="76" spans="1:18" ht="18.75" x14ac:dyDescent="0.2">
      <c r="A76" s="494"/>
      <c r="B76" s="76" t="s">
        <v>70</v>
      </c>
      <c r="C76" s="86">
        <f>'IIIa. Coeficientes Potencia'!D20</f>
        <v>2.7754371875863892E-2</v>
      </c>
      <c r="D76" s="86">
        <f>'IIIa. Coeficientes Potencia'!E20</f>
        <v>2.9244587097711439E-2</v>
      </c>
      <c r="E76" s="86">
        <f>'IIIa. Coeficientes Potencia'!F20</f>
        <v>3.6691074886905622E-2</v>
      </c>
      <c r="F76" s="86">
        <f>'IIIa. Coeficientes Potencia'!G20</f>
        <v>3.2329439654781064E-2</v>
      </c>
      <c r="G76" s="91">
        <f>'IIIa. Coeficientes Potencia'!H20</f>
        <v>3.3235579019172665E-2</v>
      </c>
      <c r="H76" s="96">
        <f>'IIIa. Coeficientes Potencia'!I20</f>
        <v>3.51408771461292E-2</v>
      </c>
      <c r="J76" s="174">
        <f>$L$34*C76</f>
        <v>9848.1735570559067</v>
      </c>
      <c r="K76" s="175">
        <f>$L$35*D76</f>
        <v>9895.0496751216542</v>
      </c>
      <c r="L76" s="175">
        <f>$L$36*E76</f>
        <v>8766.8073783538875</v>
      </c>
      <c r="M76" s="175">
        <f>$L$37*F76</f>
        <v>4901.1617111343639</v>
      </c>
      <c r="N76" s="175">
        <f>$L$38*G76</f>
        <v>73.02221683723792</v>
      </c>
      <c r="O76" s="176">
        <f>$L$39*H76</f>
        <v>443.94810479085669</v>
      </c>
    </row>
    <row r="77" spans="1:18" ht="18.75" x14ac:dyDescent="0.2">
      <c r="A77" s="494"/>
      <c r="B77" s="76" t="s">
        <v>71</v>
      </c>
      <c r="C77" s="86">
        <f>'IIIa. Coeficientes Potencia'!D21</f>
        <v>6.6986300644503269E-2</v>
      </c>
      <c r="D77" s="86">
        <f>'IIIa. Coeficientes Potencia'!E21</f>
        <v>6.5856531112217606E-2</v>
      </c>
      <c r="E77" s="86">
        <f>'IIIa. Coeficientes Potencia'!F21</f>
        <v>7.1541387572728293E-2</v>
      </c>
      <c r="F77" s="86">
        <f>'IIIa. Coeficientes Potencia'!G21</f>
        <v>6.7869441815501932E-2</v>
      </c>
      <c r="G77" s="91">
        <f>'IIIa. Coeficientes Potencia'!H21</f>
        <v>7.0119233416365695E-2</v>
      </c>
      <c r="H77" s="96">
        <f>'IIIa. Coeficientes Potencia'!I21</f>
        <v>7.566128093793259E-2</v>
      </c>
      <c r="J77" s="174">
        <f>$L$34*C77</f>
        <v>23768.965755837715</v>
      </c>
      <c r="K77" s="175">
        <f>$L$35*D77</f>
        <v>22282.880746761635</v>
      </c>
      <c r="L77" s="175">
        <f>$L$36*E77</f>
        <v>17093.790965881519</v>
      </c>
      <c r="M77" s="175">
        <f>$L$37*F77</f>
        <v>10289.046551198329</v>
      </c>
      <c r="N77" s="175">
        <f>$L$38*G77</f>
        <v>154.05965588976264</v>
      </c>
      <c r="O77" s="176">
        <f>$L$39*H77</f>
        <v>955.85782161227803</v>
      </c>
    </row>
    <row r="78" spans="1:18" ht="18.75" x14ac:dyDescent="0.2">
      <c r="A78" s="494"/>
      <c r="B78" s="76" t="s">
        <v>72</v>
      </c>
      <c r="C78" s="86">
        <f>'IIIa. Coeficientes Potencia'!D22</f>
        <v>0.22525452156758519</v>
      </c>
      <c r="D78" s="86">
        <f>'IIIa. Coeficientes Potencia'!E22</f>
        <v>0.22455175115995898</v>
      </c>
      <c r="E78" s="86">
        <f>'IIIa. Coeficientes Potencia'!F22</f>
        <v>0.26820467242622403</v>
      </c>
      <c r="F78" s="86">
        <f>'IIIa. Coeficientes Potencia'!G22</f>
        <v>0.26121020021269836</v>
      </c>
      <c r="G78" s="91">
        <f>'IIIa. Coeficientes Potencia'!H22</f>
        <v>0.24950881245702553</v>
      </c>
      <c r="H78" s="96">
        <f>'IIIa. Coeficientes Potencia'!I22</f>
        <v>0.24689379331662947</v>
      </c>
      <c r="J78" s="174">
        <f>$L$34*C78</f>
        <v>79927.790577682565</v>
      </c>
      <c r="K78" s="175">
        <f>$L$35*D78</f>
        <v>75978.187858813428</v>
      </c>
      <c r="L78" s="175">
        <f>$L$36*E78</f>
        <v>64083.669077090577</v>
      </c>
      <c r="M78" s="175">
        <f>$L$37*F78</f>
        <v>39599.617114022272</v>
      </c>
      <c r="N78" s="175">
        <f>$L$38*G78</f>
        <v>548.19826053062673</v>
      </c>
      <c r="O78" s="176">
        <f>$L$39*H78</f>
        <v>3119.1034638023129</v>
      </c>
    </row>
    <row r="79" spans="1:18" ht="19.5" thickBot="1" x14ac:dyDescent="0.25">
      <c r="A79" s="496"/>
      <c r="B79" s="78" t="s">
        <v>73</v>
      </c>
      <c r="C79" s="88">
        <f>'IIIa. Coeficientes Potencia'!D23</f>
        <v>0.59135355231206654</v>
      </c>
      <c r="D79" s="88">
        <f>'IIIa. Coeficientes Potencia'!E23</f>
        <v>0.56761951163773761</v>
      </c>
      <c r="E79" s="88">
        <f>'IIIa. Coeficientes Potencia'!F23</f>
        <v>0.54698676301043425</v>
      </c>
      <c r="F79" s="88">
        <f>'IIIa. Coeficientes Potencia'!G23</f>
        <v>0.54065602522802592</v>
      </c>
      <c r="G79" s="93">
        <f>'IIIa. Coeficientes Potencia'!H23</f>
        <v>0.50948289924800239</v>
      </c>
      <c r="H79" s="98">
        <f>'IIIa. Coeficientes Potencia'!I23</f>
        <v>0.51356631506699646</v>
      </c>
      <c r="J79" s="180">
        <f>$L$34*C79</f>
        <v>209831.89397326251</v>
      </c>
      <c r="K79" s="181">
        <f>$L$35*D79</f>
        <v>192056.84954475702</v>
      </c>
      <c r="L79" s="181">
        <f>$L$36*E79</f>
        <v>130694.66088422363</v>
      </c>
      <c r="M79" s="181">
        <f>$L$37*F79</f>
        <v>81963.76547311488</v>
      </c>
      <c r="N79" s="181">
        <f>$L$38*G79</f>
        <v>1119.3898780066563</v>
      </c>
      <c r="O79" s="182">
        <f>$L$39*H79</f>
        <v>6488.0791481191336</v>
      </c>
    </row>
    <row r="82" spans="1:15" s="415" customFormat="1" ht="16.5" x14ac:dyDescent="0.25">
      <c r="A82" s="414" t="s">
        <v>213</v>
      </c>
    </row>
    <row r="83" spans="1:15" ht="13.5" thickBot="1" x14ac:dyDescent="0.25">
      <c r="A83" s="118"/>
    </row>
    <row r="84" spans="1:15" ht="36.75" customHeight="1" x14ac:dyDescent="0.2">
      <c r="A84" s="72" t="s">
        <v>58</v>
      </c>
      <c r="B84" s="73" t="s">
        <v>57</v>
      </c>
      <c r="C84" s="79" t="s">
        <v>16</v>
      </c>
      <c r="D84" s="79" t="s">
        <v>17</v>
      </c>
      <c r="E84" s="79" t="s">
        <v>18</v>
      </c>
      <c r="F84" s="79" t="s">
        <v>19</v>
      </c>
      <c r="G84" s="79" t="s">
        <v>20</v>
      </c>
      <c r="H84" s="84" t="s">
        <v>21</v>
      </c>
      <c r="J84" s="168" t="s">
        <v>16</v>
      </c>
      <c r="K84" s="169" t="s">
        <v>17</v>
      </c>
      <c r="L84" s="169" t="s">
        <v>18</v>
      </c>
      <c r="M84" s="169" t="s">
        <v>19</v>
      </c>
      <c r="N84" s="169" t="s">
        <v>20</v>
      </c>
      <c r="O84" s="170" t="s">
        <v>21</v>
      </c>
    </row>
    <row r="85" spans="1:15" ht="19.5" x14ac:dyDescent="0.2">
      <c r="A85" s="167" t="s">
        <v>11</v>
      </c>
      <c r="B85" s="75" t="s">
        <v>59</v>
      </c>
      <c r="C85" s="85">
        <f>'IIIb. Coeficientes Energía'!D9</f>
        <v>1</v>
      </c>
      <c r="D85" s="85">
        <f>'IIIb. Coeficientes Energía'!E9</f>
        <v>1</v>
      </c>
      <c r="E85" s="85">
        <f>'IIIb. Coeficientes Energía'!F9</f>
        <v>1</v>
      </c>
      <c r="F85" s="85">
        <f>'IIIb. Coeficientes Energía'!G9</f>
        <v>1</v>
      </c>
      <c r="G85" s="90">
        <f>'IIIb. Coeficientes Energía'!H9</f>
        <v>1</v>
      </c>
      <c r="H85" s="95">
        <f>'IIIb. Coeficientes Energía'!I9</f>
        <v>1</v>
      </c>
      <c r="J85" s="171">
        <f>$H$50*C85</f>
        <v>0</v>
      </c>
      <c r="K85" s="172">
        <f>$H$51*D85</f>
        <v>0</v>
      </c>
      <c r="L85" s="172">
        <f>$H$52*E85</f>
        <v>0</v>
      </c>
      <c r="M85" s="172">
        <f>$H$53*F85</f>
        <v>0</v>
      </c>
      <c r="N85" s="172">
        <f>$H$54*G85</f>
        <v>0</v>
      </c>
      <c r="O85" s="173">
        <f>$H$55*H85</f>
        <v>0</v>
      </c>
    </row>
    <row r="86" spans="1:15" ht="19.5" x14ac:dyDescent="0.2">
      <c r="A86" s="493" t="s">
        <v>12</v>
      </c>
      <c r="B86" s="76" t="s">
        <v>60</v>
      </c>
      <c r="C86" s="86">
        <f>'IIIb. Coeficientes Energía'!D10</f>
        <v>0.35874372597645576</v>
      </c>
      <c r="D86" s="86">
        <f>'IIIb. Coeficientes Energía'!E10</f>
        <v>0.36208771949123314</v>
      </c>
      <c r="E86" s="86">
        <f>'IIIb. Coeficientes Energía'!F10</f>
        <v>0.37212323006278702</v>
      </c>
      <c r="F86" s="86">
        <f>'IIIb. Coeficientes Energía'!G10</f>
        <v>0.38380674850819213</v>
      </c>
      <c r="G86" s="91">
        <f>'IIIb. Coeficientes Energía'!H10</f>
        <v>0.3916186526839136</v>
      </c>
      <c r="H86" s="96">
        <f>'IIIb. Coeficientes Energía'!I10</f>
        <v>0.38187007399369494</v>
      </c>
      <c r="J86" s="174">
        <f>$I$50*C86</f>
        <v>65506.973542447435</v>
      </c>
      <c r="K86" s="175">
        <f>$I$51*D86</f>
        <v>59671.857624670374</v>
      </c>
      <c r="L86" s="175">
        <f>$I$52*E86</f>
        <v>38642.219544407737</v>
      </c>
      <c r="M86" s="175">
        <f>$I$53*F86</f>
        <v>30849.16567230098</v>
      </c>
      <c r="N86" s="175">
        <f>$I$54*G86</f>
        <v>1373.1604089746245</v>
      </c>
      <c r="O86" s="176">
        <f>$I$55*H86</f>
        <v>1647.9732582442725</v>
      </c>
    </row>
    <row r="87" spans="1:15" ht="19.5" x14ac:dyDescent="0.2">
      <c r="A87" s="495"/>
      <c r="B87" s="77" t="s">
        <v>61</v>
      </c>
      <c r="C87" s="87">
        <f>'IIIb. Coeficientes Energía'!D11</f>
        <v>0.64125627402354435</v>
      </c>
      <c r="D87" s="87">
        <f>'IIIb. Coeficientes Energía'!E11</f>
        <v>0.63791228050876692</v>
      </c>
      <c r="E87" s="87">
        <f>'IIIb. Coeficientes Energía'!F11</f>
        <v>0.62787676993721298</v>
      </c>
      <c r="F87" s="87">
        <f>'IIIb. Coeficientes Energía'!G11</f>
        <v>0.61619325149180781</v>
      </c>
      <c r="G87" s="92">
        <f>'IIIb. Coeficientes Energía'!H11</f>
        <v>0.6083813473160864</v>
      </c>
      <c r="H87" s="97">
        <f>'IIIb. Coeficientes Energía'!I11</f>
        <v>0.61812992600630512</v>
      </c>
      <c r="J87" s="177">
        <f>$I$50*C87</f>
        <v>117094.05554634183</v>
      </c>
      <c r="K87" s="178">
        <f>$I$51*D87</f>
        <v>105127.59403448801</v>
      </c>
      <c r="L87" s="178">
        <f>$I$52*E87</f>
        <v>65200.315461772261</v>
      </c>
      <c r="M87" s="178">
        <f>$I$53*F87</f>
        <v>49527.653631183777</v>
      </c>
      <c r="N87" s="178">
        <f>$I$54*G87</f>
        <v>2133.210902922362</v>
      </c>
      <c r="O87" s="179">
        <f>$I$55*H87</f>
        <v>2667.5606640904803</v>
      </c>
    </row>
    <row r="88" spans="1:15" ht="18.75" x14ac:dyDescent="0.2">
      <c r="A88" s="493" t="s">
        <v>13</v>
      </c>
      <c r="B88" s="76" t="s">
        <v>62</v>
      </c>
      <c r="C88" s="86">
        <f>'IIIb. Coeficientes Energía'!D12</f>
        <v>0.16271796130094249</v>
      </c>
      <c r="D88" s="86">
        <f>'IIIb. Coeficientes Energía'!E12</f>
        <v>0.16840417482150577</v>
      </c>
      <c r="E88" s="86">
        <f>'IIIb. Coeficientes Energía'!F12</f>
        <v>0.1769642367215632</v>
      </c>
      <c r="F88" s="86">
        <f>'IIIb. Coeficientes Energía'!G12</f>
        <v>0.18383425181046098</v>
      </c>
      <c r="G88" s="91">
        <f>'IIIb. Coeficientes Energía'!H12</f>
        <v>0.18743199316373602</v>
      </c>
      <c r="H88" s="96">
        <f>'IIIb. Coeficientes Energía'!I12</f>
        <v>0.19448725351533078</v>
      </c>
      <c r="J88" s="174">
        <f>$J$50*C88</f>
        <v>8113.5286944604813</v>
      </c>
      <c r="K88" s="175">
        <f>$J$51*D88</f>
        <v>8345.0635029819023</v>
      </c>
      <c r="L88" s="175">
        <f>$J$52*E88</f>
        <v>5859.8238837081572</v>
      </c>
      <c r="M88" s="175">
        <f>$J$53*F88</f>
        <v>3802.7956639236891</v>
      </c>
      <c r="N88" s="175">
        <f>$J$54*G88</f>
        <v>86.803400329138597</v>
      </c>
      <c r="O88" s="176">
        <f>$J$55*H88</f>
        <v>135.10624286317613</v>
      </c>
    </row>
    <row r="89" spans="1:15" ht="18.75" x14ac:dyDescent="0.2">
      <c r="A89" s="494"/>
      <c r="B89" s="76" t="s">
        <v>63</v>
      </c>
      <c r="C89" s="86">
        <f>'IIIb. Coeficientes Energía'!D13</f>
        <v>0.30035431181599193</v>
      </c>
      <c r="D89" s="86">
        <f>'IIIb. Coeficientes Energía'!E13</f>
        <v>0.30109198901584411</v>
      </c>
      <c r="E89" s="86">
        <f>'IIIb. Coeficientes Energía'!F13</f>
        <v>0.30625226982333814</v>
      </c>
      <c r="F89" s="86">
        <f>'IIIb. Coeficientes Energía'!G13</f>
        <v>0.31323091923070706</v>
      </c>
      <c r="G89" s="91">
        <f>'IIIb. Coeficientes Energía'!H13</f>
        <v>0.31819721772335652</v>
      </c>
      <c r="H89" s="96">
        <f>'IIIb. Coeficientes Energía'!I13</f>
        <v>0.30757479164193885</v>
      </c>
      <c r="J89" s="174">
        <f>$J$50*C89</f>
        <v>14976.424900733231</v>
      </c>
      <c r="K89" s="175">
        <f>$J$51*D89</f>
        <v>14920.246313605503</v>
      </c>
      <c r="L89" s="175">
        <f>$J$52*E89</f>
        <v>10140.943720590527</v>
      </c>
      <c r="M89" s="175">
        <f>$J$53*F89</f>
        <v>6479.4953591427638</v>
      </c>
      <c r="N89" s="175">
        <f>$J$54*G89</f>
        <v>147.36331832917077</v>
      </c>
      <c r="O89" s="176">
        <f>$J$55*H89</f>
        <v>213.66579941389796</v>
      </c>
    </row>
    <row r="90" spans="1:15" ht="18.75" x14ac:dyDescent="0.2">
      <c r="A90" s="495"/>
      <c r="B90" s="77" t="s">
        <v>64</v>
      </c>
      <c r="C90" s="87">
        <f>'IIIb. Coeficientes Energía'!D14</f>
        <v>0.53692772688306567</v>
      </c>
      <c r="D90" s="87">
        <f>'IIIb. Coeficientes Energía'!E14</f>
        <v>0.53050383616265018</v>
      </c>
      <c r="E90" s="87">
        <f>'IIIb. Coeficientes Energía'!F14</f>
        <v>0.51678349345509877</v>
      </c>
      <c r="F90" s="87">
        <f>'IIIb. Coeficientes Energía'!G14</f>
        <v>0.50293482895883179</v>
      </c>
      <c r="G90" s="92">
        <f>'IIIb. Coeficientes Energía'!H14</f>
        <v>0.49437078911290755</v>
      </c>
      <c r="H90" s="97">
        <f>'IIIb. Coeficientes Energía'!I14</f>
        <v>0.4979379548427304</v>
      </c>
      <c r="J90" s="177">
        <f>$J$50*C90</f>
        <v>26772.573132600824</v>
      </c>
      <c r="K90" s="178">
        <f>$J$51*D90</f>
        <v>26288.470615678991</v>
      </c>
      <c r="L90" s="178">
        <f>$J$52*E90</f>
        <v>17112.272591094283</v>
      </c>
      <c r="M90" s="178">
        <f>$J$53*F90</f>
        <v>10403.710777318891</v>
      </c>
      <c r="N90" s="178">
        <f>$J$54*G90</f>
        <v>228.95272463389995</v>
      </c>
      <c r="O90" s="179">
        <f>$J$55*H90</f>
        <v>345.90712266123978</v>
      </c>
    </row>
    <row r="91" spans="1:15" ht="18.75" x14ac:dyDescent="0.2">
      <c r="A91" s="493" t="s">
        <v>14</v>
      </c>
      <c r="B91" s="76" t="s">
        <v>65</v>
      </c>
      <c r="C91" s="86">
        <f>'IIIb. Coeficientes Energía'!D15</f>
        <v>8.0233094201883001E-2</v>
      </c>
      <c r="D91" s="86">
        <f>'IIIb. Coeficientes Energía'!E15</f>
        <v>8.5923044477481197E-2</v>
      </c>
      <c r="E91" s="86">
        <f>'IIIb. Coeficientes Energía'!F15</f>
        <v>9.4538352625348307E-2</v>
      </c>
      <c r="F91" s="86">
        <f>'IIIb. Coeficientes Energía'!G15</f>
        <v>9.8933337044303626E-2</v>
      </c>
      <c r="G91" s="91">
        <f>'IIIb. Coeficientes Energía'!H15</f>
        <v>9.9710000825639855E-2</v>
      </c>
      <c r="H91" s="96">
        <f>'IIIb. Coeficientes Energía'!I15</f>
        <v>0.12877790518221163</v>
      </c>
      <c r="J91" s="174">
        <f>$K$50*C91</f>
        <v>3187.4056363375707</v>
      </c>
      <c r="K91" s="175">
        <f>$K$51*D91</f>
        <v>3087.8420199619777</v>
      </c>
      <c r="L91" s="175">
        <f>$K$52*E91</f>
        <v>2669.000794394593</v>
      </c>
      <c r="M91" s="175">
        <f>$K$53*F91</f>
        <v>1974.5261531574106</v>
      </c>
      <c r="N91" s="175">
        <f>$K$54*G91</f>
        <v>69.27308911329699</v>
      </c>
      <c r="O91" s="176">
        <f>$K$55*H91</f>
        <v>227.7364451217608</v>
      </c>
    </row>
    <row r="92" spans="1:15" ht="18.75" x14ac:dyDescent="0.2">
      <c r="A92" s="494"/>
      <c r="B92" s="76" t="s">
        <v>66</v>
      </c>
      <c r="C92" s="86">
        <f>'IIIb. Coeficientes Energía'!D16</f>
        <v>8.8738330387242242E-2</v>
      </c>
      <c r="D92" s="86">
        <f>'IIIb. Coeficientes Energía'!E16</f>
        <v>8.9146904030238325E-2</v>
      </c>
      <c r="E92" s="86">
        <f>'IIIb. Coeficientes Energía'!F16</f>
        <v>8.7915727674951122E-2</v>
      </c>
      <c r="F92" s="86">
        <f>'IIIb. Coeficientes Energía'!G16</f>
        <v>8.7524530558108035E-2</v>
      </c>
      <c r="G92" s="91">
        <f>'IIIb. Coeficientes Energía'!H16</f>
        <v>8.7091788340236675E-2</v>
      </c>
      <c r="H92" s="96">
        <f>'IIIb. Coeficientes Energía'!I16</f>
        <v>8.4967515606800451E-2</v>
      </c>
      <c r="J92" s="174">
        <f>$K$50*C92</f>
        <v>3525.2916174937113</v>
      </c>
      <c r="K92" s="175">
        <f>$K$51*D92</f>
        <v>3203.6988201253876</v>
      </c>
      <c r="L92" s="175">
        <f>$K$52*E92</f>
        <v>2482.0312654920112</v>
      </c>
      <c r="M92" s="175">
        <f>$K$53*F92</f>
        <v>1746.8275082282778</v>
      </c>
      <c r="N92" s="175">
        <f>$K$54*G92</f>
        <v>60.506640906357639</v>
      </c>
      <c r="O92" s="176">
        <f>$K$55*H92</f>
        <v>150.26024788756501</v>
      </c>
    </row>
    <row r="93" spans="1:15" ht="18.75" x14ac:dyDescent="0.2">
      <c r="A93" s="494"/>
      <c r="B93" s="76" t="s">
        <v>67</v>
      </c>
      <c r="C93" s="86">
        <f>'IIIb. Coeficientes Energía'!D17</f>
        <v>0.29811790743919314</v>
      </c>
      <c r="D93" s="86">
        <f>'IIIb. Coeficientes Energía'!E17</f>
        <v>0.29593006166160279</v>
      </c>
      <c r="E93" s="86">
        <f>'IIIb. Coeficientes Energía'!F17</f>
        <v>0.2932811669766523</v>
      </c>
      <c r="F93" s="86">
        <f>'IIIb. Coeficientes Energía'!G17</f>
        <v>0.2918448703449823</v>
      </c>
      <c r="G93" s="91">
        <f>'IIIb. Coeficientes Energía'!H17</f>
        <v>0.29172153150832314</v>
      </c>
      <c r="H93" s="96">
        <f>'IIIb. Coeficientes Energía'!I17</f>
        <v>0.28205587331640947</v>
      </c>
      <c r="J93" s="174">
        <f>$K$50*C93</f>
        <v>11843.276243016258</v>
      </c>
      <c r="K93" s="175">
        <f>$K$51*D93</f>
        <v>10634.926694294707</v>
      </c>
      <c r="L93" s="175">
        <f>$K$52*E93</f>
        <v>8279.8953641992794</v>
      </c>
      <c r="M93" s="175">
        <f>$K$53*F93</f>
        <v>5824.6830277537947</v>
      </c>
      <c r="N93" s="175">
        <f>$K$54*G93</f>
        <v>202.67226437778803</v>
      </c>
      <c r="O93" s="176">
        <f>$K$55*H93</f>
        <v>498.79986651363572</v>
      </c>
    </row>
    <row r="94" spans="1:15" ht="18.75" x14ac:dyDescent="0.2">
      <c r="A94" s="495"/>
      <c r="B94" s="77" t="s">
        <v>68</v>
      </c>
      <c r="C94" s="87">
        <f>'IIIb. Coeficientes Energía'!D18</f>
        <v>0.53291066797168152</v>
      </c>
      <c r="D94" s="87">
        <f>'IIIb. Coeficientes Energía'!E18</f>
        <v>0.52899998983067764</v>
      </c>
      <c r="E94" s="87">
        <f>'IIIb. Coeficientes Energía'!F18</f>
        <v>0.52426475272304829</v>
      </c>
      <c r="F94" s="87">
        <f>'IIIb. Coeficientes Energía'!G18</f>
        <v>0.52169726205260614</v>
      </c>
      <c r="G94" s="92">
        <f>'IIIb. Coeficientes Energía'!H18</f>
        <v>0.52147667932580044</v>
      </c>
      <c r="H94" s="97">
        <f>'IIIb. Coeficientes Energía'!I18</f>
        <v>0.50419870589457849</v>
      </c>
      <c r="J94" s="177">
        <f>$K$50*C94</f>
        <v>21170.845816856116</v>
      </c>
      <c r="K94" s="178">
        <f>$K$51*D94</f>
        <v>19010.830064182916</v>
      </c>
      <c r="L94" s="178">
        <f>$K$52*E94</f>
        <v>14801.00935369716</v>
      </c>
      <c r="M94" s="178">
        <f>$K$53*F94</f>
        <v>10412.111010590816</v>
      </c>
      <c r="N94" s="178">
        <f>$K$54*G94</f>
        <v>362.29365337797901</v>
      </c>
      <c r="O94" s="179">
        <f>$K$55*H94</f>
        <v>891.64690754174831</v>
      </c>
    </row>
    <row r="95" spans="1:15" ht="18.75" x14ac:dyDescent="0.2">
      <c r="A95" s="493" t="s">
        <v>15</v>
      </c>
      <c r="B95" s="76" t="s">
        <v>69</v>
      </c>
      <c r="C95" s="86">
        <f>'IIIb. Coeficientes Energía'!D19</f>
        <v>0.10700695290755527</v>
      </c>
      <c r="D95" s="86">
        <f>'IIIb. Coeficientes Energía'!E19</f>
        <v>0.11720408285006341</v>
      </c>
      <c r="E95" s="86">
        <f>'IIIb. Coeficientes Energía'!F19</f>
        <v>0.13428589646808162</v>
      </c>
      <c r="F95" s="86">
        <f>'IIIb. Coeficientes Energía'!G19</f>
        <v>0.14143891150682122</v>
      </c>
      <c r="G95" s="91">
        <f>'IIIb. Coeficientes Energía'!H19</f>
        <v>0.1433755456289825</v>
      </c>
      <c r="H95" s="96">
        <f>'IIIb. Coeficientes Energía'!I19</f>
        <v>0.16648347123757606</v>
      </c>
      <c r="J95" s="174">
        <f>$L$50*C95</f>
        <v>12656.54108787754</v>
      </c>
      <c r="K95" s="175">
        <f>$L$51*D95</f>
        <v>13218.859021141818</v>
      </c>
      <c r="L95" s="175">
        <f>$L$52*E95</f>
        <v>10695.231211713437</v>
      </c>
      <c r="M95" s="175">
        <f>$L$53*F95</f>
        <v>7147.4068727452377</v>
      </c>
      <c r="N95" s="175">
        <f>$L$54*G95</f>
        <v>105.00393946336087</v>
      </c>
      <c r="O95" s="176">
        <f>$L$55*H95</f>
        <v>701.08306467497357</v>
      </c>
    </row>
    <row r="96" spans="1:15" ht="18.75" x14ac:dyDescent="0.2">
      <c r="A96" s="494"/>
      <c r="B96" s="76" t="s">
        <v>70</v>
      </c>
      <c r="C96" s="86">
        <f>'IIIb. Coeficientes Energía'!D20</f>
        <v>3.3009612286175882E-2</v>
      </c>
      <c r="D96" s="86">
        <f>'IIIb. Coeficientes Energía'!E20</f>
        <v>3.512170422598293E-2</v>
      </c>
      <c r="E96" s="86">
        <f>'IIIb. Coeficientes Energía'!F20</f>
        <v>3.7960203867805901E-2</v>
      </c>
      <c r="F96" s="86">
        <f>'IIIb. Coeficientes Energía'!G20</f>
        <v>3.9393569236329092E-2</v>
      </c>
      <c r="G96" s="91">
        <f>'IIIb. Coeficientes Energía'!H20</f>
        <v>3.9503068588768828E-2</v>
      </c>
      <c r="H96" s="96">
        <f>'IIIb. Coeficientes Energía'!I20</f>
        <v>5.1766744519994197E-2</v>
      </c>
      <c r="J96" s="174">
        <f>$L$50*C96</f>
        <v>3904.3025041169476</v>
      </c>
      <c r="K96" s="175">
        <f>$L$51*D96</f>
        <v>3961.2003733644506</v>
      </c>
      <c r="L96" s="175">
        <f>$L$52*E96</f>
        <v>3023.34919666313</v>
      </c>
      <c r="M96" s="175">
        <f>$L$53*F96</f>
        <v>1990.6959442919986</v>
      </c>
      <c r="N96" s="175">
        <f>$L$54*G96</f>
        <v>28.930859893261921</v>
      </c>
      <c r="O96" s="176">
        <f>$L$55*H96</f>
        <v>217.9963429794974</v>
      </c>
    </row>
    <row r="97" spans="1:15" ht="18.75" x14ac:dyDescent="0.2">
      <c r="A97" s="494"/>
      <c r="B97" s="76" t="s">
        <v>71</v>
      </c>
      <c r="C97" s="86">
        <f>'IIIb. Coeficientes Energía'!D21</f>
        <v>7.7921360063677364E-2</v>
      </c>
      <c r="D97" s="86">
        <f>'IIIb. Coeficientes Energía'!E21</f>
        <v>7.8644353853282722E-2</v>
      </c>
      <c r="E97" s="86">
        <f>'IIIb. Coeficientes Energía'!F21</f>
        <v>7.8384718773718165E-2</v>
      </c>
      <c r="F97" s="86">
        <f>'IIIb. Coeficientes Energía'!G21</f>
        <v>7.9165197350233779E-2</v>
      </c>
      <c r="G97" s="91">
        <f>'IIIb. Coeficientes Energía'!H21</f>
        <v>7.9613514325160922E-2</v>
      </c>
      <c r="H97" s="96">
        <f>'IIIb. Coeficientes Energía'!I21</f>
        <v>7.974029203341268E-2</v>
      </c>
      <c r="J97" s="174">
        <f>$L$50*C97</f>
        <v>9216.3627546822754</v>
      </c>
      <c r="K97" s="175">
        <f>$L$51*D97</f>
        <v>8869.9011255884179</v>
      </c>
      <c r="L97" s="175">
        <f>$L$52*E97</f>
        <v>6242.9690146151443</v>
      </c>
      <c r="M97" s="175">
        <f>$L$53*F97</f>
        <v>4000.4965365984572</v>
      </c>
      <c r="N97" s="175">
        <f>$L$54*G97</f>
        <v>58.306544550472779</v>
      </c>
      <c r="O97" s="176">
        <f>$L$55*H97</f>
        <v>335.79650821362998</v>
      </c>
    </row>
    <row r="98" spans="1:15" ht="18.75" x14ac:dyDescent="0.2">
      <c r="A98" s="494"/>
      <c r="B98" s="76" t="s">
        <v>72</v>
      </c>
      <c r="C98" s="86">
        <f>'IIIb. Coeficientes Energía'!D22</f>
        <v>0.28055250405327797</v>
      </c>
      <c r="D98" s="86">
        <f>'IIIb. Coeficientes Energía'!E22</f>
        <v>0.27732057059302528</v>
      </c>
      <c r="E98" s="86">
        <f>'IIIb. Coeficientes Energía'!F22</f>
        <v>0.27445774827336156</v>
      </c>
      <c r="F98" s="86">
        <f>'IIIb. Coeficientes Energía'!G22</f>
        <v>0.27589113229553869</v>
      </c>
      <c r="G98" s="91">
        <f>'IIIb. Coeficientes Energía'!H22</f>
        <v>0.27822247173050896</v>
      </c>
      <c r="H98" s="96">
        <f>'IIIb. Coeficientes Energía'!I22</f>
        <v>0.26075763211343356</v>
      </c>
      <c r="J98" s="174">
        <f>$L$50*C98</f>
        <v>33183.117529987489</v>
      </c>
      <c r="K98" s="175">
        <f>$L$51*D98</f>
        <v>31277.592360169434</v>
      </c>
      <c r="L98" s="175">
        <f>$L$52*E98</f>
        <v>21859.250694487921</v>
      </c>
      <c r="M98" s="175">
        <f>$L$53*F98</f>
        <v>13941.751630374354</v>
      </c>
      <c r="N98" s="175">
        <f>$L$54*G98</f>
        <v>203.76177437215256</v>
      </c>
      <c r="O98" s="176">
        <f>$L$55*H98</f>
        <v>1098.0835424712939</v>
      </c>
    </row>
    <row r="99" spans="1:15" ht="19.5" thickBot="1" x14ac:dyDescent="0.25">
      <c r="A99" s="496"/>
      <c r="B99" s="78" t="s">
        <v>73</v>
      </c>
      <c r="C99" s="88">
        <f>'IIIb. Coeficientes Energía'!D23</f>
        <v>0.50150957068931346</v>
      </c>
      <c r="D99" s="88">
        <f>'IIIb. Coeficientes Energía'!E23</f>
        <v>0.49170928847764567</v>
      </c>
      <c r="E99" s="88">
        <f>'IIIb. Coeficientes Energía'!F23</f>
        <v>0.47491143261703278</v>
      </c>
      <c r="F99" s="88">
        <f>'IIIb. Coeficientes Energía'!G23</f>
        <v>0.46411118961107722</v>
      </c>
      <c r="G99" s="93">
        <f>'IIIb. Coeficientes Energía'!H23</f>
        <v>0.45928539972657889</v>
      </c>
      <c r="H99" s="98">
        <f>'IIIb. Coeficientes Energía'!I23</f>
        <v>0.44125186009558359</v>
      </c>
      <c r="J99" s="180">
        <f>$L$50*C99</f>
        <v>59317.421110726369</v>
      </c>
      <c r="K99" s="181">
        <f>$L$51*D99</f>
        <v>55457.417572108359</v>
      </c>
      <c r="L99" s="181">
        <f>$L$52*E99</f>
        <v>37824.430640283412</v>
      </c>
      <c r="M99" s="181">
        <f>$L$53*F99</f>
        <v>23453.174738156849</v>
      </c>
      <c r="N99" s="181">
        <f>$L$54*G99</f>
        <v>336.36681972317069</v>
      </c>
      <c r="O99" s="182">
        <f>$L$55*H99</f>
        <v>1858.1676851745135</v>
      </c>
    </row>
  </sheetData>
  <mergeCells count="18">
    <mergeCell ref="A91:A94"/>
    <mergeCell ref="A95:A99"/>
    <mergeCell ref="A66:A67"/>
    <mergeCell ref="A68:A70"/>
    <mergeCell ref="A71:A74"/>
    <mergeCell ref="A75:A79"/>
    <mergeCell ref="A86:A87"/>
    <mergeCell ref="A88:A90"/>
    <mergeCell ref="J8:J9"/>
    <mergeCell ref="A32:A33"/>
    <mergeCell ref="A48:A49"/>
    <mergeCell ref="A19:C19"/>
    <mergeCell ref="A20:C20"/>
    <mergeCell ref="A22:C22"/>
    <mergeCell ref="A23:C23"/>
    <mergeCell ref="A10:C10"/>
    <mergeCell ref="A11:C11"/>
    <mergeCell ref="J16:J1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1:Q106"/>
  <sheetViews>
    <sheetView showGridLines="0" workbookViewId="0"/>
  </sheetViews>
  <sheetFormatPr baseColWidth="10" defaultRowHeight="12.75" x14ac:dyDescent="0.2"/>
  <cols>
    <col min="2" max="2" width="14.140625" customWidth="1"/>
    <col min="3" max="3" width="15.42578125" customWidth="1"/>
    <col min="4" max="4" width="17" customWidth="1"/>
    <col min="5" max="5" width="13.28515625" customWidth="1"/>
    <col min="6" max="6" width="13.7109375" bestFit="1" customWidth="1"/>
    <col min="7" max="7" width="18.42578125" customWidth="1"/>
    <col min="8" max="8" width="2.28515625" customWidth="1"/>
    <col min="9" max="9" width="19.28515625" customWidth="1"/>
    <col min="10" max="12" width="12.85546875" bestFit="1" customWidth="1"/>
    <col min="13" max="13" width="11.85546875" bestFit="1" customWidth="1"/>
    <col min="14" max="14" width="12.85546875" bestFit="1" customWidth="1"/>
    <col min="15" max="15" width="5.42578125" customWidth="1"/>
    <col min="16" max="16" width="12.85546875" bestFit="1" customWidth="1"/>
  </cols>
  <sheetData>
    <row r="1" spans="1:14" s="1" customFormat="1" x14ac:dyDescent="0.2"/>
    <row r="2" spans="1:14" s="1" customFormat="1" x14ac:dyDescent="0.2"/>
    <row r="3" spans="1:14" s="1" customFormat="1" x14ac:dyDescent="0.2"/>
    <row r="4" spans="1:14" s="1" customFormat="1" x14ac:dyDescent="0.2"/>
    <row r="5" spans="1:14" s="1" customFormat="1" x14ac:dyDescent="0.2"/>
    <row r="6" spans="1:14" s="413" customFormat="1" ht="30" customHeight="1" x14ac:dyDescent="0.2">
      <c r="A6" s="413" t="s">
        <v>206</v>
      </c>
    </row>
    <row r="7" spans="1:14" s="5" customFormat="1" ht="16.5" customHeight="1" x14ac:dyDescent="0.2">
      <c r="A7" s="5" t="s">
        <v>216</v>
      </c>
    </row>
    <row r="8" spans="1:14" ht="5.0999999999999996" customHeight="1" thickBot="1" x14ac:dyDescent="0.25"/>
    <row r="9" spans="1:14" ht="25.5" customHeight="1" thickBot="1" x14ac:dyDescent="0.25">
      <c r="B9" s="319" t="s">
        <v>100</v>
      </c>
      <c r="C9" s="199"/>
      <c r="D9" s="199"/>
      <c r="E9" s="199"/>
      <c r="F9" s="199"/>
      <c r="G9" s="200"/>
      <c r="I9" s="319" t="s">
        <v>101</v>
      </c>
      <c r="J9" s="199"/>
      <c r="K9" s="199"/>
      <c r="L9" s="199"/>
      <c r="M9" s="199"/>
      <c r="N9" s="200"/>
    </row>
    <row r="10" spans="1:14" ht="13.5" thickBot="1" x14ac:dyDescent="0.25"/>
    <row r="11" spans="1:14" ht="24.95" customHeight="1" x14ac:dyDescent="0.2">
      <c r="A11" s="497" t="s">
        <v>58</v>
      </c>
      <c r="B11" s="183" t="s">
        <v>109</v>
      </c>
      <c r="C11" s="183"/>
      <c r="D11" s="183"/>
      <c r="E11" s="183"/>
      <c r="F11" s="183"/>
      <c r="G11" s="184"/>
      <c r="I11" s="201" t="s">
        <v>109</v>
      </c>
      <c r="J11" s="183"/>
      <c r="K11" s="183"/>
      <c r="L11" s="183"/>
      <c r="M11" s="183"/>
      <c r="N11" s="184"/>
    </row>
    <row r="12" spans="1:14" ht="24.95" customHeight="1" x14ac:dyDescent="0.2">
      <c r="A12" s="498"/>
      <c r="B12" s="185" t="s">
        <v>16</v>
      </c>
      <c r="C12" s="185" t="s">
        <v>17</v>
      </c>
      <c r="D12" s="185" t="s">
        <v>18</v>
      </c>
      <c r="E12" s="185" t="s">
        <v>19</v>
      </c>
      <c r="F12" s="185" t="s">
        <v>20</v>
      </c>
      <c r="G12" s="186" t="s">
        <v>21</v>
      </c>
      <c r="I12" s="202" t="s">
        <v>16</v>
      </c>
      <c r="J12" s="185" t="s">
        <v>17</v>
      </c>
      <c r="K12" s="185" t="s">
        <v>18</v>
      </c>
      <c r="L12" s="185" t="s">
        <v>19</v>
      </c>
      <c r="M12" s="185" t="s">
        <v>20</v>
      </c>
      <c r="N12" s="186" t="s">
        <v>21</v>
      </c>
    </row>
    <row r="13" spans="1:14" ht="15" customHeight="1" x14ac:dyDescent="0.2">
      <c r="A13" s="189" t="s">
        <v>11</v>
      </c>
      <c r="B13" s="190">
        <f>'IV. Metodología de asignación'!J79</f>
        <v>209831.89397326251</v>
      </c>
      <c r="C13" s="190">
        <f>'IV. Metodología de asignación'!K79</f>
        <v>192056.84954475702</v>
      </c>
      <c r="D13" s="190">
        <f>'IV. Metodología de asignación'!L79</f>
        <v>130694.66088422363</v>
      </c>
      <c r="E13" s="190">
        <f>'IV. Metodología de asignación'!M79</f>
        <v>81963.76547311488</v>
      </c>
      <c r="F13" s="190">
        <f>'IV. Metodología de asignación'!N79</f>
        <v>1119.3898780066563</v>
      </c>
      <c r="G13" s="191">
        <f>'IV. Metodología de asignación'!O79</f>
        <v>6488.0791481191336</v>
      </c>
      <c r="I13" s="203">
        <f>'IV. Metodología de asignación'!J99</f>
        <v>59317.421110726369</v>
      </c>
      <c r="J13" s="190">
        <f>'IV. Metodología de asignación'!K99</f>
        <v>55457.417572108359</v>
      </c>
      <c r="K13" s="190">
        <f>'IV. Metodología de asignación'!L99</f>
        <v>37824.430640283412</v>
      </c>
      <c r="L13" s="190">
        <f>'IV. Metodología de asignación'!M99</f>
        <v>23453.174738156849</v>
      </c>
      <c r="M13" s="190">
        <f>'IV. Metodología de asignación'!N99</f>
        <v>336.36681972317069</v>
      </c>
      <c r="N13" s="191">
        <f>'IV. Metodología de asignación'!O99</f>
        <v>1858.1676851745135</v>
      </c>
    </row>
    <row r="14" spans="1:14" ht="15" customHeight="1" x14ac:dyDescent="0.2">
      <c r="A14" s="192" t="s">
        <v>12</v>
      </c>
      <c r="B14" s="193">
        <f>'IV. Metodología de asignación'!J78</f>
        <v>79927.790577682565</v>
      </c>
      <c r="C14" s="193">
        <f>'IV. Metodología de asignación'!K78</f>
        <v>75978.187858813428</v>
      </c>
      <c r="D14" s="193">
        <f>'IV. Metodología de asignación'!L78</f>
        <v>64083.669077090577</v>
      </c>
      <c r="E14" s="193">
        <f>'IV. Metodología de asignación'!M78</f>
        <v>39599.617114022272</v>
      </c>
      <c r="F14" s="193">
        <f>'IV. Metodología de asignación'!N78</f>
        <v>548.19826053062673</v>
      </c>
      <c r="G14" s="194">
        <f>'IV. Metodología de asignación'!O78</f>
        <v>3119.1034638023129</v>
      </c>
      <c r="I14" s="204">
        <f>'IV. Metodología de asignación'!J98</f>
        <v>33183.117529987489</v>
      </c>
      <c r="J14" s="193">
        <f>'IV. Metodología de asignación'!K98</f>
        <v>31277.592360169434</v>
      </c>
      <c r="K14" s="193">
        <f>'IV. Metodología de asignación'!L98</f>
        <v>21859.250694487921</v>
      </c>
      <c r="L14" s="193">
        <f>'IV. Metodología de asignación'!M98</f>
        <v>13941.751630374354</v>
      </c>
      <c r="M14" s="193">
        <f>'IV. Metodología de asignación'!N98</f>
        <v>203.76177437215256</v>
      </c>
      <c r="N14" s="194">
        <f>'IV. Metodología de asignación'!O98</f>
        <v>1098.0835424712939</v>
      </c>
    </row>
    <row r="15" spans="1:14" ht="15" customHeight="1" x14ac:dyDescent="0.2">
      <c r="A15" s="192" t="s">
        <v>13</v>
      </c>
      <c r="B15" s="193">
        <f>'IV. Metodología de asignación'!J77</f>
        <v>23768.965755837715</v>
      </c>
      <c r="C15" s="193">
        <f>'IV. Metodología de asignación'!K77</f>
        <v>22282.880746761635</v>
      </c>
      <c r="D15" s="193">
        <f>'IV. Metodología de asignación'!L77</f>
        <v>17093.790965881519</v>
      </c>
      <c r="E15" s="193">
        <f>'IV. Metodología de asignación'!M77</f>
        <v>10289.046551198329</v>
      </c>
      <c r="F15" s="193">
        <f>'IV. Metodología de asignación'!N77</f>
        <v>154.05965588976264</v>
      </c>
      <c r="G15" s="194">
        <f>'IV. Metodología de asignación'!O77</f>
        <v>955.85782161227803</v>
      </c>
      <c r="I15" s="204">
        <f>'IV. Metodología de asignación'!J97</f>
        <v>9216.3627546822754</v>
      </c>
      <c r="J15" s="193">
        <f>'IV. Metodología de asignación'!K97</f>
        <v>8869.9011255884179</v>
      </c>
      <c r="K15" s="193">
        <f>'IV. Metodología de asignación'!L97</f>
        <v>6242.9690146151443</v>
      </c>
      <c r="L15" s="193">
        <f>'IV. Metodología de asignación'!M97</f>
        <v>4000.4965365984572</v>
      </c>
      <c r="M15" s="193">
        <f>'IV. Metodología de asignación'!N97</f>
        <v>58.306544550472779</v>
      </c>
      <c r="N15" s="194">
        <f>'IV. Metodología de asignación'!O97</f>
        <v>335.79650821362998</v>
      </c>
    </row>
    <row r="16" spans="1:14" ht="15" customHeight="1" x14ac:dyDescent="0.2">
      <c r="A16" s="192" t="s">
        <v>14</v>
      </c>
      <c r="B16" s="193">
        <f>'IV. Metodología de asignación'!J76</f>
        <v>9848.1735570559067</v>
      </c>
      <c r="C16" s="193">
        <f>'IV. Metodología de asignación'!K76</f>
        <v>9895.0496751216542</v>
      </c>
      <c r="D16" s="193">
        <f>'IV. Metodología de asignación'!L76</f>
        <v>8766.8073783538875</v>
      </c>
      <c r="E16" s="193">
        <f>'IV. Metodología de asignación'!M76</f>
        <v>4901.1617111343639</v>
      </c>
      <c r="F16" s="193">
        <f>'IV. Metodología de asignación'!N76</f>
        <v>73.02221683723792</v>
      </c>
      <c r="G16" s="194">
        <f>'IV. Metodología de asignación'!O76</f>
        <v>443.94810479085669</v>
      </c>
      <c r="I16" s="204">
        <f>'IV. Metodología de asignación'!J96</f>
        <v>3904.3025041169476</v>
      </c>
      <c r="J16" s="193">
        <f>'IV. Metodología de asignación'!K96</f>
        <v>3961.2003733644506</v>
      </c>
      <c r="K16" s="193">
        <f>'IV. Metodología de asignación'!L96</f>
        <v>3023.34919666313</v>
      </c>
      <c r="L16" s="193">
        <f>'IV. Metodología de asignación'!M96</f>
        <v>1990.6959442919986</v>
      </c>
      <c r="M16" s="193">
        <f>'IV. Metodología de asignación'!N96</f>
        <v>28.930859893261921</v>
      </c>
      <c r="N16" s="194">
        <f>'IV. Metodología de asignación'!O96</f>
        <v>217.9963429794974</v>
      </c>
    </row>
    <row r="17" spans="1:14" ht="15" customHeight="1" thickBot="1" x14ac:dyDescent="0.25">
      <c r="A17" s="195" t="s">
        <v>15</v>
      </c>
      <c r="B17" s="196">
        <f>'IV. Metodología de asignación'!J75</f>
        <v>31456.411098333276</v>
      </c>
      <c r="C17" s="196">
        <f>'IV. Metodología de asignación'!K75</f>
        <v>38141.943531663746</v>
      </c>
      <c r="D17" s="196">
        <f>'IV. Metodología de asignación'!L75</f>
        <v>18296.763967739502</v>
      </c>
      <c r="E17" s="196">
        <f>'IV. Metodología de asignación'!M75</f>
        <v>14846.986317030838</v>
      </c>
      <c r="F17" s="196">
        <f>'IV. Metodología de asignación'!N75</f>
        <v>302.43980274297326</v>
      </c>
      <c r="G17" s="197">
        <f>'IV. Metodología de asignación'!O75</f>
        <v>1626.3928922171399</v>
      </c>
      <c r="I17" s="205">
        <f>'IV. Metodología de asignación'!J95</f>
        <v>12656.54108787754</v>
      </c>
      <c r="J17" s="196">
        <f>'IV. Metodología de asignación'!K95</f>
        <v>13218.859021141818</v>
      </c>
      <c r="K17" s="196">
        <f>'IV. Metodología de asignación'!L95</f>
        <v>10695.231211713437</v>
      </c>
      <c r="L17" s="196">
        <f>'IV. Metodología de asignación'!M95</f>
        <v>7147.4068727452377</v>
      </c>
      <c r="M17" s="196">
        <f>'IV. Metodología de asignación'!N95</f>
        <v>105.00393946336087</v>
      </c>
      <c r="N17" s="197">
        <f>'IV. Metodología de asignación'!O95</f>
        <v>701.08306467497357</v>
      </c>
    </row>
    <row r="18" spans="1:14" ht="13.5" thickBot="1" x14ac:dyDescent="0.25">
      <c r="B18" s="240"/>
      <c r="C18" s="240"/>
      <c r="D18" s="240"/>
      <c r="E18" s="240"/>
      <c r="F18" s="240"/>
      <c r="G18" s="240"/>
      <c r="N18" s="240">
        <f>SUM(I13:N17)-'IV. Metodología de asignación'!D23</f>
        <v>0</v>
      </c>
    </row>
    <row r="19" spans="1:14" ht="24" customHeight="1" x14ac:dyDescent="0.2">
      <c r="A19" s="497" t="s">
        <v>58</v>
      </c>
      <c r="B19" s="183" t="s">
        <v>110</v>
      </c>
      <c r="C19" s="183"/>
      <c r="D19" s="183"/>
      <c r="E19" s="183"/>
      <c r="F19" s="183"/>
      <c r="G19" s="184"/>
      <c r="I19" s="201" t="s">
        <v>117</v>
      </c>
      <c r="J19" s="183"/>
      <c r="K19" s="183"/>
      <c r="L19" s="183"/>
      <c r="M19" s="183"/>
      <c r="N19" s="184"/>
    </row>
    <row r="20" spans="1:14" ht="24" customHeight="1" x14ac:dyDescent="0.2">
      <c r="A20" s="498"/>
      <c r="B20" s="185" t="s">
        <v>16</v>
      </c>
      <c r="C20" s="185" t="s">
        <v>17</v>
      </c>
      <c r="D20" s="185" t="s">
        <v>18</v>
      </c>
      <c r="E20" s="185" t="s">
        <v>19</v>
      </c>
      <c r="F20" s="185" t="s">
        <v>20</v>
      </c>
      <c r="G20" s="186" t="s">
        <v>21</v>
      </c>
      <c r="I20" s="202" t="s">
        <v>16</v>
      </c>
      <c r="J20" s="185" t="s">
        <v>17</v>
      </c>
      <c r="K20" s="185" t="s">
        <v>18</v>
      </c>
      <c r="L20" s="185" t="s">
        <v>19</v>
      </c>
      <c r="M20" s="185" t="s">
        <v>20</v>
      </c>
      <c r="N20" s="186" t="s">
        <v>21</v>
      </c>
    </row>
    <row r="21" spans="1:14" ht="15" customHeight="1" x14ac:dyDescent="0.2">
      <c r="A21" s="189" t="s">
        <v>11</v>
      </c>
      <c r="B21" s="190">
        <f>'I. Datos de entrada'!C114+'I. Datos de entrada'!C115</f>
        <v>143010.30662016582</v>
      </c>
      <c r="C21" s="190">
        <f>'I. Datos de entrada'!D114+'I. Datos de entrada'!D115</f>
        <v>143010.30662016582</v>
      </c>
      <c r="D21" s="190">
        <f>'I. Datos de entrada'!E114+'I. Datos de entrada'!E115</f>
        <v>143010.30662016582</v>
      </c>
      <c r="E21" s="190">
        <f>'I. Datos de entrada'!F114+'I. Datos de entrada'!F115</f>
        <v>143010.30662016582</v>
      </c>
      <c r="F21" s="190">
        <f>'I. Datos de entrada'!G114+'I. Datos de entrada'!G115</f>
        <v>143010.30662016582</v>
      </c>
      <c r="G21" s="191">
        <f>'I. Datos de entrada'!H114+'I. Datos de entrada'!H115</f>
        <v>143059.52538083273</v>
      </c>
      <c r="I21" s="203">
        <f>('I. Datos de entrada'!C101+'I. Datos de entrada'!C102)*1000</f>
        <v>13105626.109328471</v>
      </c>
      <c r="J21" s="190">
        <f>('I. Datos de entrada'!D101+'I. Datos de entrada'!D102)*1000</f>
        <v>15661605.923908038</v>
      </c>
      <c r="K21" s="190">
        <f>('I. Datos de entrada'!E101+'I. Datos de entrada'!E102)*1000</f>
        <v>12923598.223674146</v>
      </c>
      <c r="L21" s="190">
        <f>('I. Datos de entrada'!F101+'I. Datos de entrada'!F102)*1000</f>
        <v>14711753.722044777</v>
      </c>
      <c r="M21" s="190">
        <f>('I. Datos de entrada'!G101+'I. Datos de entrada'!G102)*1000</f>
        <v>5998079.1211256981</v>
      </c>
      <c r="N21" s="191">
        <f>('I. Datos de entrada'!H101+'I. Datos de entrada'!H102)*1000</f>
        <v>50719410.355725937</v>
      </c>
    </row>
    <row r="22" spans="1:14" ht="15" customHeight="1" x14ac:dyDescent="0.2">
      <c r="A22" s="192" t="s">
        <v>12</v>
      </c>
      <c r="B22" s="193">
        <f>'I. Datos de entrada'!C116</f>
        <v>17910.358725226339</v>
      </c>
      <c r="C22" s="193">
        <f>'I. Datos de entrada'!D116</f>
        <v>18100.43402872359</v>
      </c>
      <c r="D22" s="193">
        <f>'I. Datos de entrada'!E116</f>
        <v>18261.01800616832</v>
      </c>
      <c r="E22" s="193">
        <f>'I. Datos de entrada'!F116</f>
        <v>18351.717043986329</v>
      </c>
      <c r="F22" s="193">
        <f>'I. Datos de entrada'!G116</f>
        <v>18489.246648591979</v>
      </c>
      <c r="G22" s="194">
        <f>'I. Datos de entrada'!H116</f>
        <v>24962.36270159639</v>
      </c>
      <c r="I22" s="204">
        <f>'I. Datos de entrada'!C103*1000</f>
        <v>7348357.4614952048</v>
      </c>
      <c r="J22" s="193">
        <f>'I. Datos de entrada'!D103*1000</f>
        <v>8850167.2075083293</v>
      </c>
      <c r="K22" s="193">
        <f>'I. Datos de entrada'!E103*1000</f>
        <v>8367899.2446384765</v>
      </c>
      <c r="L22" s="193">
        <f>'I. Datos de entrada'!F103*1000</f>
        <v>9713799.7050765418</v>
      </c>
      <c r="M22" s="193">
        <f>'I. Datos de entrada'!G103*1000</f>
        <v>4018639.7236762899</v>
      </c>
      <c r="N22" s="194">
        <f>'I. Datos de entrada'!H103*1000</f>
        <v>31887696.20007946</v>
      </c>
    </row>
    <row r="23" spans="1:14" ht="15" customHeight="1" x14ac:dyDescent="0.2">
      <c r="A23" s="192" t="s">
        <v>13</v>
      </c>
      <c r="B23" s="193">
        <f>'I. Datos de entrada'!C117</f>
        <v>4588.3186794678977</v>
      </c>
      <c r="C23" s="193">
        <f>'I. Datos de entrada'!D117</f>
        <v>4765.1907981895301</v>
      </c>
      <c r="D23" s="193">
        <f>'I. Datos de entrada'!E117</f>
        <v>4789.1314839349761</v>
      </c>
      <c r="E23" s="193">
        <f>'I. Datos de entrada'!F117</f>
        <v>4842.4000771830069</v>
      </c>
      <c r="F23" s="193">
        <f>'I. Datos de entrada'!G117</f>
        <v>4888.079545788125</v>
      </c>
      <c r="G23" s="194">
        <f>'I. Datos de entrada'!H117</f>
        <v>6511.1736805344253</v>
      </c>
      <c r="I23" s="204">
        <f>'I. Datos de entrada'!C104*1000</f>
        <v>2249035.240585146</v>
      </c>
      <c r="J23" s="193">
        <f>'I. Datos de entrada'!D104*1000</f>
        <v>2913078.1876007761</v>
      </c>
      <c r="K23" s="193">
        <f>'I. Datos de entrada'!E104*1000</f>
        <v>2644316.8427591687</v>
      </c>
      <c r="L23" s="193">
        <f>'I. Datos de entrada'!F104*1000</f>
        <v>3128218.0964022726</v>
      </c>
      <c r="M23" s="193">
        <f>'I. Datos de entrada'!G104*1000</f>
        <v>1378271.3170981565</v>
      </c>
      <c r="N23" s="194">
        <f>'I. Datos de entrada'!H104*1000</f>
        <v>12410288.280022774</v>
      </c>
    </row>
    <row r="24" spans="1:14" ht="15" customHeight="1" x14ac:dyDescent="0.2">
      <c r="A24" s="192" t="s">
        <v>14</v>
      </c>
      <c r="B24" s="193">
        <f>'I. Datos de entrada'!C118</f>
        <v>1834.3812100366376</v>
      </c>
      <c r="C24" s="193">
        <f>'I. Datos de entrada'!D118</f>
        <v>1930.0469980140933</v>
      </c>
      <c r="D24" s="193">
        <f>'I. Datos de entrada'!E118</f>
        <v>1944.1964556083869</v>
      </c>
      <c r="E24" s="193">
        <f>'I. Datos de entrada'!F118</f>
        <v>1970.1607729411585</v>
      </c>
      <c r="F24" s="193">
        <f>'I. Datos de entrada'!G118</f>
        <v>1999.8782981054317</v>
      </c>
      <c r="G24" s="194">
        <f>'I. Datos de entrada'!H118</f>
        <v>2514.2887059197101</v>
      </c>
      <c r="I24" s="204">
        <f>'I. Datos de entrada'!C105*1000</f>
        <v>834021.87476251693</v>
      </c>
      <c r="J24" s="193">
        <f>'I. Datos de entrada'!D105*1000</f>
        <v>1105250.781434265</v>
      </c>
      <c r="K24" s="193">
        <f>'I. Datos de entrada'!E105*1000</f>
        <v>1053247.3693529735</v>
      </c>
      <c r="L24" s="193">
        <f>'I. Datos de entrada'!F105*1000</f>
        <v>1267673.2117090162</v>
      </c>
      <c r="M24" s="193">
        <f>'I. Datos de entrada'!G105*1000</f>
        <v>558385.66467954952</v>
      </c>
      <c r="N24" s="194">
        <f>'I. Datos de entrada'!H105*1000</f>
        <v>5742318.8943006136</v>
      </c>
    </row>
    <row r="25" spans="1:14" ht="15" customHeight="1" thickBot="1" x14ac:dyDescent="0.25">
      <c r="A25" s="195" t="s">
        <v>15</v>
      </c>
      <c r="B25" s="196">
        <f>'I. Datos de entrada'!C119</f>
        <v>2948.2489844775164</v>
      </c>
      <c r="C25" s="196">
        <f>'I. Datos de entrada'!D119</f>
        <v>3119.5916732063451</v>
      </c>
      <c r="D25" s="196">
        <f>'I. Datos de entrada'!E119</f>
        <v>3274.565522232243</v>
      </c>
      <c r="E25" s="196">
        <f>'I. Datos de entrada'!F119</f>
        <v>3473.9884113892808</v>
      </c>
      <c r="F25" s="196">
        <f>'I. Datos de entrada'!G119</f>
        <v>3613.3642640099547</v>
      </c>
      <c r="G25" s="197">
        <f>'I. Datos de entrada'!H119</f>
        <v>4619.8715756169977</v>
      </c>
      <c r="I25" s="205">
        <f>'I. Datos de entrada'!C106*1000</f>
        <v>1745877.2948880428</v>
      </c>
      <c r="J25" s="196">
        <f>'I. Datos de entrada'!D106*1000</f>
        <v>2379894.4294305397</v>
      </c>
      <c r="K25" s="196">
        <f>'I. Datos de entrada'!E106*1000</f>
        <v>2234404.1270323857</v>
      </c>
      <c r="L25" s="196">
        <f>'I. Datos de entrada'!F106*1000</f>
        <v>2717319.9719521734</v>
      </c>
      <c r="M25" s="196">
        <f>'I. Datos de entrada'!G106*1000</f>
        <v>1237931.4217128614</v>
      </c>
      <c r="N25" s="197">
        <f>'I. Datos de entrada'!H106*1000</f>
        <v>13629712.246371733</v>
      </c>
    </row>
    <row r="26" spans="1:14" ht="13.5" thickBot="1" x14ac:dyDescent="0.25">
      <c r="A26" s="187"/>
      <c r="B26" s="188"/>
      <c r="C26" s="188"/>
      <c r="D26" s="188"/>
      <c r="E26" s="188"/>
      <c r="F26" s="188"/>
      <c r="G26" s="188"/>
      <c r="I26" s="188">
        <f>SUM(I21:I25)-'I. Datos de entrada'!C108*1000</f>
        <v>0</v>
      </c>
      <c r="J26" s="188">
        <f>SUM(J21:J25)-'I. Datos de entrada'!D108*1000</f>
        <v>0</v>
      </c>
      <c r="K26" s="188">
        <f>SUM(K21:K25)-'I. Datos de entrada'!E108*1000</f>
        <v>0</v>
      </c>
      <c r="L26" s="188">
        <f>SUM(L21:L25)-'I. Datos de entrada'!F108*1000</f>
        <v>0</v>
      </c>
      <c r="M26" s="188">
        <f>SUM(M21:M25)-'I. Datos de entrada'!G108*1000</f>
        <v>0</v>
      </c>
      <c r="N26" s="188">
        <f>SUM(N21:N25)-'I. Datos de entrada'!H108*1000</f>
        <v>0</v>
      </c>
    </row>
    <row r="27" spans="1:14" ht="24" customHeight="1" x14ac:dyDescent="0.2">
      <c r="A27" s="497" t="s">
        <v>58</v>
      </c>
      <c r="B27" s="183" t="s">
        <v>111</v>
      </c>
      <c r="C27" s="183"/>
      <c r="D27" s="183"/>
      <c r="E27" s="183"/>
      <c r="F27" s="183"/>
      <c r="G27" s="184"/>
      <c r="I27" s="201" t="s">
        <v>116</v>
      </c>
      <c r="J27" s="183"/>
      <c r="K27" s="183"/>
      <c r="L27" s="183"/>
      <c r="M27" s="183"/>
      <c r="N27" s="184"/>
    </row>
    <row r="28" spans="1:14" ht="24" customHeight="1" x14ac:dyDescent="0.2">
      <c r="A28" s="498"/>
      <c r="B28" s="185" t="s">
        <v>16</v>
      </c>
      <c r="C28" s="185" t="s">
        <v>17</v>
      </c>
      <c r="D28" s="185" t="s">
        <v>18</v>
      </c>
      <c r="E28" s="185" t="s">
        <v>19</v>
      </c>
      <c r="F28" s="185" t="s">
        <v>20</v>
      </c>
      <c r="G28" s="186" t="s">
        <v>21</v>
      </c>
      <c r="I28" s="202" t="s">
        <v>16</v>
      </c>
      <c r="J28" s="185" t="s">
        <v>17</v>
      </c>
      <c r="K28" s="185" t="s">
        <v>18</v>
      </c>
      <c r="L28" s="185" t="s">
        <v>19</v>
      </c>
      <c r="M28" s="185" t="s">
        <v>20</v>
      </c>
      <c r="N28" s="186" t="s">
        <v>21</v>
      </c>
    </row>
    <row r="29" spans="1:14" ht="15" customHeight="1" x14ac:dyDescent="0.2">
      <c r="A29" s="189" t="s">
        <v>11</v>
      </c>
      <c r="B29" s="225">
        <f>B13/B21</f>
        <v>1.4672501509319484</v>
      </c>
      <c r="C29" s="225">
        <f>C13/C21</f>
        <v>1.3429580992009087</v>
      </c>
      <c r="D29" s="225">
        <f>D13/D21</f>
        <v>0.91388281007849004</v>
      </c>
      <c r="E29" s="225">
        <f>E13/E21</f>
        <v>0.57313187706680435</v>
      </c>
      <c r="F29" s="225">
        <f>F13/F21</f>
        <v>7.8273370952189232E-3</v>
      </c>
      <c r="G29" s="226">
        <f>G13/G21</f>
        <v>4.5352304440039848E-2</v>
      </c>
      <c r="I29" s="231">
        <f>I13/I21</f>
        <v>4.5261035692529591E-3</v>
      </c>
      <c r="J29" s="232">
        <f>J13/J21</f>
        <v>3.5409789929301246E-3</v>
      </c>
      <c r="K29" s="232">
        <f>K13/K21</f>
        <v>2.9267724039110541E-3</v>
      </c>
      <c r="L29" s="232">
        <f>L13/L21</f>
        <v>1.5941794011283318E-3</v>
      </c>
      <c r="M29" s="232">
        <f>M13/M21</f>
        <v>5.6079090143786325E-5</v>
      </c>
      <c r="N29" s="233">
        <f>N13/N21</f>
        <v>3.663622412291583E-5</v>
      </c>
    </row>
    <row r="30" spans="1:14" ht="15" customHeight="1" x14ac:dyDescent="0.2">
      <c r="A30" s="192" t="s">
        <v>12</v>
      </c>
      <c r="B30" s="227">
        <f>B14/B22</f>
        <v>4.4626571585696979</v>
      </c>
      <c r="C30" s="227">
        <f>C14/C22</f>
        <v>4.1975892809113633</v>
      </c>
      <c r="D30" s="227">
        <f>D14/D22</f>
        <v>3.5093152558879246</v>
      </c>
      <c r="E30" s="227">
        <f>E14/E22</f>
        <v>2.1578153705785619</v>
      </c>
      <c r="F30" s="227">
        <f>F14/F22</f>
        <v>2.964957258398486E-2</v>
      </c>
      <c r="G30" s="228">
        <f>G14/G22</f>
        <v>0.12495225316163043</v>
      </c>
      <c r="I30" s="234">
        <f>I14/I22</f>
        <v>4.515719016646145E-3</v>
      </c>
      <c r="J30" s="235">
        <f>J14/J22</f>
        <v>3.5341244551440861E-3</v>
      </c>
      <c r="K30" s="235">
        <f>K14/K22</f>
        <v>2.6122746050621596E-3</v>
      </c>
      <c r="L30" s="235">
        <f>L14/L22</f>
        <v>1.4352521210714523E-3</v>
      </c>
      <c r="M30" s="235">
        <f>M14/M22</f>
        <v>5.0704165683643157E-5</v>
      </c>
      <c r="N30" s="236">
        <f>N14/N22</f>
        <v>3.4435963500823794E-5</v>
      </c>
    </row>
    <row r="31" spans="1:14" ht="15" customHeight="1" x14ac:dyDescent="0.2">
      <c r="A31" s="192" t="s">
        <v>13</v>
      </c>
      <c r="B31" s="227">
        <f>B15/B23</f>
        <v>5.1803214676871958</v>
      </c>
      <c r="C31" s="227">
        <f>C15/C23</f>
        <v>4.6761780777440674</v>
      </c>
      <c r="D31" s="227">
        <f>D15/D23</f>
        <v>3.5692882985614869</v>
      </c>
      <c r="E31" s="227">
        <f>E15/E23</f>
        <v>2.1247824192964715</v>
      </c>
      <c r="F31" s="227">
        <f>F15/F23</f>
        <v>3.1517419969670925E-2</v>
      </c>
      <c r="G31" s="228">
        <f>G15/G23</f>
        <v>0.14680269157461992</v>
      </c>
      <c r="I31" s="234">
        <f>I15/I23</f>
        <v>4.0979183377688622E-3</v>
      </c>
      <c r="J31" s="235">
        <f>J15/J23</f>
        <v>3.0448551512768378E-3</v>
      </c>
      <c r="K31" s="235">
        <f>K15/K23</f>
        <v>2.3609005220800324E-3</v>
      </c>
      <c r="L31" s="235">
        <f>L15/L23</f>
        <v>1.2788419519723967E-3</v>
      </c>
      <c r="M31" s="235">
        <f>M15/M23</f>
        <v>4.2304112279745248E-5</v>
      </c>
      <c r="N31" s="236">
        <f>N15/N23</f>
        <v>2.7057913614639561E-5</v>
      </c>
    </row>
    <row r="32" spans="1:14" ht="15" customHeight="1" x14ac:dyDescent="0.2">
      <c r="A32" s="192" t="s">
        <v>14</v>
      </c>
      <c r="B32" s="227">
        <f>B16/B24</f>
        <v>5.3686624694870329</v>
      </c>
      <c r="C32" s="227">
        <f>C16/C24</f>
        <v>5.1268438982589997</v>
      </c>
      <c r="D32" s="227">
        <f>D16/D24</f>
        <v>4.5092188873528922</v>
      </c>
      <c r="E32" s="227">
        <f>E16/E24</f>
        <v>2.4876963232892182</v>
      </c>
      <c r="F32" s="227">
        <f>F16/F24</f>
        <v>3.6513330289355564E-2</v>
      </c>
      <c r="G32" s="228">
        <f>G16/G24</f>
        <v>0.17657005885824215</v>
      </c>
      <c r="I32" s="234">
        <f>I16/I24</f>
        <v>4.6812950862094305E-3</v>
      </c>
      <c r="J32" s="235">
        <f>J16/J24</f>
        <v>3.5839833274979175E-3</v>
      </c>
      <c r="K32" s="235">
        <f>K16/K24</f>
        <v>2.8705024903318021E-3</v>
      </c>
      <c r="L32" s="235">
        <f>L16/L24</f>
        <v>1.5703541937343913E-3</v>
      </c>
      <c r="M32" s="235">
        <f>M16/M24</f>
        <v>5.1811609293130722E-5</v>
      </c>
      <c r="N32" s="236">
        <f>N16/N24</f>
        <v>3.7963120298989997E-5</v>
      </c>
    </row>
    <row r="33" spans="1:14" ht="15" customHeight="1" thickBot="1" x14ac:dyDescent="0.25">
      <c r="A33" s="195" t="s">
        <v>15</v>
      </c>
      <c r="B33" s="229">
        <f>B17/B25</f>
        <v>10.669523253955408</v>
      </c>
      <c r="C33" s="229">
        <f>C17/C25</f>
        <v>12.226582042534146</v>
      </c>
      <c r="D33" s="229">
        <f>D17/D25</f>
        <v>5.587539428823753</v>
      </c>
      <c r="E33" s="229">
        <f>E17/E25</f>
        <v>4.2737581588803826</v>
      </c>
      <c r="F33" s="229">
        <f>F17/F25</f>
        <v>8.3700335932181583E-2</v>
      </c>
      <c r="G33" s="230">
        <f>G17/G25</f>
        <v>0.35204287946033008</v>
      </c>
      <c r="I33" s="237">
        <f>I17/I25</f>
        <v>7.249387528514231E-3</v>
      </c>
      <c r="J33" s="238">
        <f>J17/J25</f>
        <v>5.5543888240054502E-3</v>
      </c>
      <c r="K33" s="238">
        <f>K17/K25</f>
        <v>4.7866145082350268E-3</v>
      </c>
      <c r="L33" s="238">
        <f>L17/L25</f>
        <v>2.6303147757790212E-3</v>
      </c>
      <c r="M33" s="238">
        <f>M17/M25</f>
        <v>8.4822097267773014E-5</v>
      </c>
      <c r="N33" s="239">
        <f>N17/N25</f>
        <v>5.1437847843163659E-5</v>
      </c>
    </row>
    <row r="34" spans="1:14" x14ac:dyDescent="0.2">
      <c r="B34" s="318"/>
      <c r="C34" s="318"/>
      <c r="D34" s="318"/>
      <c r="E34" s="318"/>
      <c r="F34" s="318"/>
      <c r="G34" s="318"/>
    </row>
    <row r="35" spans="1:14" s="5" customFormat="1" ht="16.5" customHeight="1" x14ac:dyDescent="0.2">
      <c r="A35" s="5" t="s">
        <v>118</v>
      </c>
    </row>
    <row r="36" spans="1:14" ht="5.0999999999999996" customHeight="1" thickBot="1" x14ac:dyDescent="0.25">
      <c r="A36" s="213"/>
      <c r="B36" s="215"/>
      <c r="C36" s="48"/>
    </row>
    <row r="37" spans="1:14" ht="18" customHeight="1" x14ac:dyDescent="0.2">
      <c r="A37" s="497" t="s">
        <v>58</v>
      </c>
      <c r="B37" s="183" t="s">
        <v>100</v>
      </c>
      <c r="C37" s="183"/>
      <c r="D37" s="183"/>
      <c r="E37" s="183"/>
      <c r="F37" s="183"/>
      <c r="G37" s="184"/>
      <c r="I37" s="201" t="s">
        <v>101</v>
      </c>
      <c r="J37" s="183"/>
      <c r="K37" s="183"/>
      <c r="L37" s="183"/>
      <c r="M37" s="183"/>
      <c r="N37" s="184"/>
    </row>
    <row r="38" spans="1:14" ht="18" customHeight="1" x14ac:dyDescent="0.2">
      <c r="A38" s="498"/>
      <c r="B38" s="185" t="s">
        <v>16</v>
      </c>
      <c r="C38" s="185" t="s">
        <v>17</v>
      </c>
      <c r="D38" s="185" t="s">
        <v>18</v>
      </c>
      <c r="E38" s="185" t="s">
        <v>19</v>
      </c>
      <c r="F38" s="185" t="s">
        <v>20</v>
      </c>
      <c r="G38" s="186" t="s">
        <v>21</v>
      </c>
      <c r="I38" s="202" t="s">
        <v>16</v>
      </c>
      <c r="J38" s="185" t="s">
        <v>17</v>
      </c>
      <c r="K38" s="185" t="s">
        <v>18</v>
      </c>
      <c r="L38" s="185" t="s">
        <v>19</v>
      </c>
      <c r="M38" s="185" t="s">
        <v>20</v>
      </c>
      <c r="N38" s="186" t="s">
        <v>21</v>
      </c>
    </row>
    <row r="39" spans="1:14" ht="15" customHeight="1" x14ac:dyDescent="0.2">
      <c r="A39" s="189" t="s">
        <v>11</v>
      </c>
      <c r="B39" s="216">
        <f t="shared" ref="B39:G43" si="0">B29/$G29</f>
        <v>32.352273364009442</v>
      </c>
      <c r="C39" s="216">
        <f t="shared" si="0"/>
        <v>29.611683811490323</v>
      </c>
      <c r="D39" s="216">
        <f t="shared" si="0"/>
        <v>20.150746943558996</v>
      </c>
      <c r="E39" s="216">
        <f t="shared" si="0"/>
        <v>12.63732646319087</v>
      </c>
      <c r="F39" s="216">
        <f t="shared" si="0"/>
        <v>0.17258962233258562</v>
      </c>
      <c r="G39" s="219">
        <f t="shared" si="0"/>
        <v>1</v>
      </c>
      <c r="I39" s="218">
        <f t="shared" ref="I39:N43" si="1">I29/$N29</f>
        <v>123.54175894512822</v>
      </c>
      <c r="J39" s="216">
        <f t="shared" si="1"/>
        <v>96.652400123168121</v>
      </c>
      <c r="K39" s="216">
        <f t="shared" si="1"/>
        <v>79.887392163876626</v>
      </c>
      <c r="L39" s="216">
        <f t="shared" si="1"/>
        <v>43.513747371448638</v>
      </c>
      <c r="M39" s="216">
        <f t="shared" si="1"/>
        <v>1.5307005971914298</v>
      </c>
      <c r="N39" s="219">
        <f t="shared" si="1"/>
        <v>1</v>
      </c>
    </row>
    <row r="40" spans="1:14" ht="15" customHeight="1" x14ac:dyDescent="0.2">
      <c r="A40" s="192" t="s">
        <v>12</v>
      </c>
      <c r="B40" s="217">
        <f t="shared" si="0"/>
        <v>35.71489945681158</v>
      </c>
      <c r="C40" s="217">
        <f t="shared" si="0"/>
        <v>33.593546132230394</v>
      </c>
      <c r="D40" s="217">
        <f t="shared" si="0"/>
        <v>28.085249902204595</v>
      </c>
      <c r="E40" s="217">
        <f t="shared" si="0"/>
        <v>17.269119331424513</v>
      </c>
      <c r="F40" s="217">
        <f t="shared" si="0"/>
        <v>0.23728721838758701</v>
      </c>
      <c r="G40" s="221">
        <f t="shared" si="0"/>
        <v>1</v>
      </c>
      <c r="I40" s="220">
        <f t="shared" si="1"/>
        <v>131.13380772802009</v>
      </c>
      <c r="J40" s="217">
        <f t="shared" si="1"/>
        <v>102.62888259419664</v>
      </c>
      <c r="K40" s="217">
        <f t="shared" si="1"/>
        <v>75.858908521600313</v>
      </c>
      <c r="L40" s="217">
        <f t="shared" si="1"/>
        <v>41.67887217783575</v>
      </c>
      <c r="M40" s="217">
        <f t="shared" si="1"/>
        <v>1.4724189634604006</v>
      </c>
      <c r="N40" s="221">
        <f t="shared" si="1"/>
        <v>1</v>
      </c>
    </row>
    <row r="41" spans="1:14" ht="15" customHeight="1" x14ac:dyDescent="0.2">
      <c r="A41" s="192" t="s">
        <v>13</v>
      </c>
      <c r="B41" s="217">
        <f t="shared" si="0"/>
        <v>35.28764637843193</v>
      </c>
      <c r="C41" s="217">
        <f t="shared" si="0"/>
        <v>31.853490066067096</v>
      </c>
      <c r="D41" s="217">
        <f t="shared" si="0"/>
        <v>24.313507199881379</v>
      </c>
      <c r="E41" s="217">
        <f t="shared" si="0"/>
        <v>14.473729306362499</v>
      </c>
      <c r="F41" s="217">
        <f t="shared" si="0"/>
        <v>0.21469238493934967</v>
      </c>
      <c r="G41" s="221">
        <f t="shared" si="0"/>
        <v>1</v>
      </c>
      <c r="I41" s="220">
        <f t="shared" si="1"/>
        <v>151.44990098392887</v>
      </c>
      <c r="J41" s="217">
        <f t="shared" si="1"/>
        <v>112.53103970401594</v>
      </c>
      <c r="K41" s="217">
        <f t="shared" si="1"/>
        <v>87.253605570042097</v>
      </c>
      <c r="L41" s="217">
        <f t="shared" si="1"/>
        <v>47.263139730052394</v>
      </c>
      <c r="M41" s="217">
        <f t="shared" si="1"/>
        <v>1.5634654202183866</v>
      </c>
      <c r="N41" s="221">
        <f t="shared" si="1"/>
        <v>1</v>
      </c>
    </row>
    <row r="42" spans="1:14" ht="15" customHeight="1" x14ac:dyDescent="0.2">
      <c r="A42" s="192" t="s">
        <v>14</v>
      </c>
      <c r="B42" s="217">
        <f t="shared" si="0"/>
        <v>30.405282210373052</v>
      </c>
      <c r="C42" s="217">
        <f t="shared" si="0"/>
        <v>29.035748933940408</v>
      </c>
      <c r="D42" s="217">
        <f t="shared" si="0"/>
        <v>25.537845524382377</v>
      </c>
      <c r="E42" s="217">
        <f t="shared" si="0"/>
        <v>14.089004327095147</v>
      </c>
      <c r="F42" s="217">
        <f t="shared" si="0"/>
        <v>0.20679230966712198</v>
      </c>
      <c r="G42" s="221">
        <f t="shared" si="0"/>
        <v>1</v>
      </c>
      <c r="I42" s="220">
        <f t="shared" si="1"/>
        <v>123.31165218613434</v>
      </c>
      <c r="J42" s="217">
        <f t="shared" si="1"/>
        <v>94.406974433902604</v>
      </c>
      <c r="K42" s="217">
        <f t="shared" si="1"/>
        <v>75.612922955865969</v>
      </c>
      <c r="L42" s="217">
        <f t="shared" si="1"/>
        <v>41.365256105572819</v>
      </c>
      <c r="M42" s="217">
        <f t="shared" si="1"/>
        <v>1.3647879543375987</v>
      </c>
      <c r="N42" s="221">
        <f t="shared" si="1"/>
        <v>1</v>
      </c>
    </row>
    <row r="43" spans="1:14" ht="15" customHeight="1" thickBot="1" x14ac:dyDescent="0.25">
      <c r="A43" s="195" t="s">
        <v>15</v>
      </c>
      <c r="B43" s="223">
        <f t="shared" si="0"/>
        <v>30.307453655393992</v>
      </c>
      <c r="C43" s="223">
        <f t="shared" si="0"/>
        <v>34.730377337207003</v>
      </c>
      <c r="D43" s="223">
        <f t="shared" si="0"/>
        <v>15.871758114776425</v>
      </c>
      <c r="E43" s="223">
        <f t="shared" si="0"/>
        <v>12.139879566466194</v>
      </c>
      <c r="F43" s="223">
        <f t="shared" si="0"/>
        <v>0.2377560826126959</v>
      </c>
      <c r="G43" s="224">
        <f t="shared" si="0"/>
        <v>1</v>
      </c>
      <c r="I43" s="222">
        <f t="shared" si="1"/>
        <v>140.9348919616144</v>
      </c>
      <c r="J43" s="223">
        <f t="shared" si="1"/>
        <v>107.98252759215421</v>
      </c>
      <c r="K43" s="223">
        <f t="shared" si="1"/>
        <v>93.056274882060237</v>
      </c>
      <c r="L43" s="223">
        <f t="shared" si="1"/>
        <v>51.135785925549818</v>
      </c>
      <c r="M43" s="223">
        <f t="shared" si="1"/>
        <v>1.649021116248865</v>
      </c>
      <c r="N43" s="224">
        <f t="shared" si="1"/>
        <v>1</v>
      </c>
    </row>
    <row r="65" spans="1:14" s="5" customFormat="1" ht="16.5" customHeight="1" x14ac:dyDescent="0.2">
      <c r="A65" s="5" t="s">
        <v>119</v>
      </c>
    </row>
    <row r="66" spans="1:14" ht="5.0999999999999996" customHeight="1" thickBot="1" x14ac:dyDescent="0.25">
      <c r="A66" s="213"/>
      <c r="B66" s="215"/>
      <c r="C66" s="48"/>
    </row>
    <row r="67" spans="1:14" ht="18" customHeight="1" x14ac:dyDescent="0.2">
      <c r="A67" s="497" t="s">
        <v>58</v>
      </c>
      <c r="B67" s="183" t="s">
        <v>100</v>
      </c>
      <c r="C67" s="183"/>
      <c r="D67" s="183"/>
      <c r="E67" s="183"/>
      <c r="F67" s="183"/>
      <c r="G67" s="184"/>
      <c r="I67" s="201" t="s">
        <v>101</v>
      </c>
      <c r="J67" s="183"/>
      <c r="K67" s="183"/>
      <c r="L67" s="183"/>
      <c r="M67" s="183"/>
      <c r="N67" s="184"/>
    </row>
    <row r="68" spans="1:14" ht="18" customHeight="1" x14ac:dyDescent="0.2">
      <c r="A68" s="498"/>
      <c r="B68" s="185" t="s">
        <v>16</v>
      </c>
      <c r="C68" s="185" t="s">
        <v>17</v>
      </c>
      <c r="D68" s="185" t="s">
        <v>18</v>
      </c>
      <c r="E68" s="185" t="s">
        <v>19</v>
      </c>
      <c r="F68" s="185" t="s">
        <v>20</v>
      </c>
      <c r="G68" s="186" t="s">
        <v>21</v>
      </c>
      <c r="I68" s="202" t="s">
        <v>16</v>
      </c>
      <c r="J68" s="185" t="s">
        <v>17</v>
      </c>
      <c r="K68" s="185" t="s">
        <v>18</v>
      </c>
      <c r="L68" s="185" t="s">
        <v>19</v>
      </c>
      <c r="M68" s="185" t="s">
        <v>20</v>
      </c>
      <c r="N68" s="186" t="s">
        <v>21</v>
      </c>
    </row>
    <row r="69" spans="1:14" ht="18" customHeight="1" x14ac:dyDescent="0.2">
      <c r="A69" s="189" t="s">
        <v>11</v>
      </c>
      <c r="B69" s="216">
        <f>B29/B$33</f>
        <v>0.13751787366769261</v>
      </c>
      <c r="C69" s="216">
        <f>C29/C$33</f>
        <v>0.10983920890801631</v>
      </c>
      <c r="D69" s="216">
        <f>D29/D$33</f>
        <v>0.16355729059631421</v>
      </c>
      <c r="E69" s="216">
        <f>E29/E$33</f>
        <v>0.13410489217222121</v>
      </c>
      <c r="F69" s="216">
        <f>F29/F$33</f>
        <v>9.3516196895088249E-2</v>
      </c>
      <c r="G69" s="219">
        <f>G29/G$33</f>
        <v>0.12882608081596028</v>
      </c>
      <c r="I69" s="218">
        <f>I29/I$33</f>
        <v>0.62434289123740472</v>
      </c>
      <c r="J69" s="216">
        <f>J29/J$33</f>
        <v>0.63751010329460689</v>
      </c>
      <c r="K69" s="216">
        <f>K29/K$33</f>
        <v>0.61144936549115292</v>
      </c>
      <c r="L69" s="216">
        <f>L29/L$33</f>
        <v>0.60607932396843378</v>
      </c>
      <c r="M69" s="216">
        <f>M29/M$33</f>
        <v>0.66113774535368397</v>
      </c>
      <c r="N69" s="219">
        <f>N29/N$33</f>
        <v>0.71224255405516468</v>
      </c>
    </row>
    <row r="70" spans="1:14" ht="18" customHeight="1" x14ac:dyDescent="0.2">
      <c r="A70" s="192" t="s">
        <v>12</v>
      </c>
      <c r="B70" s="217">
        <f>B30/B$33</f>
        <v>0.41826209591092095</v>
      </c>
      <c r="C70" s="217">
        <f>C30/C$33</f>
        <v>0.34331665761606006</v>
      </c>
      <c r="D70" s="217">
        <f>D30/D$33</f>
        <v>0.62806093819845843</v>
      </c>
      <c r="E70" s="217">
        <f>E30/E$33</f>
        <v>0.50489880109263252</v>
      </c>
      <c r="F70" s="217">
        <f>F30/F$33</f>
        <v>0.35423480985797362</v>
      </c>
      <c r="G70" s="221">
        <f>G30/G$33</f>
        <v>0.35493475497410443</v>
      </c>
      <c r="I70" s="220">
        <f>I30/I$33</f>
        <v>0.62291041814006132</v>
      </c>
      <c r="J70" s="217">
        <f>J30/J$33</f>
        <v>0.63627602732275301</v>
      </c>
      <c r="K70" s="217">
        <f>K30/K$33</f>
        <v>0.54574576677690012</v>
      </c>
      <c r="L70" s="217">
        <f>L30/L$33</f>
        <v>0.54565793200411661</v>
      </c>
      <c r="M70" s="217">
        <f>M30/M$33</f>
        <v>0.59777071443513463</v>
      </c>
      <c r="N70" s="221">
        <f>N30/N$33</f>
        <v>0.66946742417802185</v>
      </c>
    </row>
    <row r="71" spans="1:14" ht="18" customHeight="1" x14ac:dyDescent="0.2">
      <c r="A71" s="192" t="s">
        <v>13</v>
      </c>
      <c r="B71" s="217">
        <f>B31/B$33</f>
        <v>0.48552511151486982</v>
      </c>
      <c r="C71" s="217">
        <f>C31/C$33</f>
        <v>0.38245995990346771</v>
      </c>
      <c r="D71" s="217">
        <f>D31/D$33</f>
        <v>0.63879429291344914</v>
      </c>
      <c r="E71" s="217">
        <f>E31/E$33</f>
        <v>0.49716954968109639</v>
      </c>
      <c r="F71" s="217">
        <f>F31/F$33</f>
        <v>0.37655069861616802</v>
      </c>
      <c r="G71" s="221">
        <f>G31/G$33</f>
        <v>0.41700230324119469</v>
      </c>
      <c r="I71" s="220">
        <f>I31/I$33</f>
        <v>0.56527786956489756</v>
      </c>
      <c r="J71" s="217">
        <f>J31/J$33</f>
        <v>0.54818905333334111</v>
      </c>
      <c r="K71" s="217">
        <f>K31/K$33</f>
        <v>0.49322971758395678</v>
      </c>
      <c r="L71" s="217">
        <f>L31/L$33</f>
        <v>0.4861935019140976</v>
      </c>
      <c r="M71" s="217">
        <f>M31/M$33</f>
        <v>0.49873928660589856</v>
      </c>
      <c r="N71" s="221">
        <f>N31/N$33</f>
        <v>0.52603121532495634</v>
      </c>
    </row>
    <row r="72" spans="1:14" ht="18" customHeight="1" x14ac:dyDescent="0.2">
      <c r="A72" s="192" t="s">
        <v>14</v>
      </c>
      <c r="B72" s="217">
        <f>B32/B$33</f>
        <v>0.50317735307402434</v>
      </c>
      <c r="C72" s="217">
        <f>C32/C$33</f>
        <v>0.41931946969509581</v>
      </c>
      <c r="D72" s="217">
        <f>D32/D$33</f>
        <v>0.80701334546146353</v>
      </c>
      <c r="E72" s="217">
        <f>E32/E$33</f>
        <v>0.58208635837759526</v>
      </c>
      <c r="F72" s="217">
        <f>F32/F$33</f>
        <v>0.43623875439329879</v>
      </c>
      <c r="G72" s="221">
        <f>G32/G$33</f>
        <v>0.50155838723089108</v>
      </c>
      <c r="I72" s="220">
        <f>I32/I$33</f>
        <v>0.64575042619757239</v>
      </c>
      <c r="J72" s="217">
        <f>J32/J$33</f>
        <v>0.6452525095125391</v>
      </c>
      <c r="K72" s="217">
        <f>K32/K$33</f>
        <v>0.59969368441793436</v>
      </c>
      <c r="L72" s="217">
        <f>L32/L$33</f>
        <v>0.59702139386313524</v>
      </c>
      <c r="M72" s="217">
        <f>M32/M$33</f>
        <v>0.61082678879735541</v>
      </c>
      <c r="N72" s="221">
        <f>N32/N$33</f>
        <v>0.73803866006877428</v>
      </c>
    </row>
    <row r="73" spans="1:14" ht="18" customHeight="1" thickBot="1" x14ac:dyDescent="0.25">
      <c r="A73" s="195" t="s">
        <v>15</v>
      </c>
      <c r="B73" s="223">
        <f>B33/B$33</f>
        <v>1</v>
      </c>
      <c r="C73" s="223">
        <f>C33/C$33</f>
        <v>1</v>
      </c>
      <c r="D73" s="223">
        <f>D33/D$33</f>
        <v>1</v>
      </c>
      <c r="E73" s="223">
        <f>E33/E$33</f>
        <v>1</v>
      </c>
      <c r="F73" s="223">
        <f>F33/F$33</f>
        <v>1</v>
      </c>
      <c r="G73" s="224">
        <f>G33/G$33</f>
        <v>1</v>
      </c>
      <c r="I73" s="222">
        <f>I33/I$33</f>
        <v>1</v>
      </c>
      <c r="J73" s="223">
        <f>J33/J$33</f>
        <v>1</v>
      </c>
      <c r="K73" s="223">
        <f>K33/K$33</f>
        <v>1</v>
      </c>
      <c r="L73" s="223">
        <f>L33/L$33</f>
        <v>1</v>
      </c>
      <c r="M73" s="223">
        <f>M33/M$33</f>
        <v>1</v>
      </c>
      <c r="N73" s="224">
        <f>N33/N$33</f>
        <v>1</v>
      </c>
    </row>
    <row r="75" spans="1:14" s="5" customFormat="1" ht="16.5" customHeight="1" x14ac:dyDescent="0.2">
      <c r="A75" s="5" t="s">
        <v>128</v>
      </c>
    </row>
    <row r="76" spans="1:14" ht="5.0999999999999996" customHeight="1" thickBot="1" x14ac:dyDescent="0.25"/>
    <row r="77" spans="1:14" ht="18" customHeight="1" x14ac:dyDescent="0.2">
      <c r="A77" s="497" t="s">
        <v>102</v>
      </c>
      <c r="B77" s="183" t="s">
        <v>129</v>
      </c>
      <c r="C77" s="183"/>
      <c r="D77" s="183"/>
      <c r="E77" s="183"/>
      <c r="F77" s="183"/>
      <c r="G77" s="184"/>
      <c r="I77" s="201" t="s">
        <v>130</v>
      </c>
      <c r="J77" s="183"/>
      <c r="K77" s="183"/>
      <c r="L77" s="183"/>
      <c r="M77" s="183"/>
      <c r="N77" s="184"/>
    </row>
    <row r="78" spans="1:14" ht="18" customHeight="1" x14ac:dyDescent="0.2">
      <c r="A78" s="498"/>
      <c r="B78" s="185" t="s">
        <v>16</v>
      </c>
      <c r="C78" s="185" t="s">
        <v>17</v>
      </c>
      <c r="D78" s="185" t="s">
        <v>18</v>
      </c>
      <c r="E78" s="185" t="s">
        <v>19</v>
      </c>
      <c r="F78" s="185" t="s">
        <v>20</v>
      </c>
      <c r="G78" s="186" t="s">
        <v>21</v>
      </c>
      <c r="I78" s="202" t="s">
        <v>16</v>
      </c>
      <c r="J78" s="185" t="s">
        <v>17</v>
      </c>
      <c r="K78" s="185" t="s">
        <v>18</v>
      </c>
      <c r="L78" s="185" t="s">
        <v>19</v>
      </c>
      <c r="M78" s="185" t="s">
        <v>20</v>
      </c>
      <c r="N78" s="186" t="s">
        <v>21</v>
      </c>
    </row>
    <row r="79" spans="1:14" ht="18" customHeight="1" x14ac:dyDescent="0.2">
      <c r="A79" s="246" t="s">
        <v>103</v>
      </c>
      <c r="B79" s="247">
        <f>SUMPRODUCT(B80:F80,'I. Datos de entrada'!C114:G114)/'I. Datos de entrada'!C114</f>
        <v>4.3238159861603522</v>
      </c>
      <c r="C79" s="247">
        <f>G80</f>
        <v>2.6593048882201726E-2</v>
      </c>
      <c r="D79" s="247"/>
      <c r="E79" s="247"/>
      <c r="F79" s="247"/>
      <c r="G79" s="248"/>
      <c r="I79" s="258">
        <f>I29</f>
        <v>4.5261035692529591E-3</v>
      </c>
      <c r="J79" s="256">
        <f t="shared" ref="J79:N79" si="2">J29</f>
        <v>3.5409789929301246E-3</v>
      </c>
      <c r="K79" s="256">
        <f t="shared" si="2"/>
        <v>2.9267724039110541E-3</v>
      </c>
      <c r="L79" s="255">
        <f t="shared" si="2"/>
        <v>1.5941794011283318E-3</v>
      </c>
      <c r="M79" s="255">
        <f t="shared" si="2"/>
        <v>5.6079090143786325E-5</v>
      </c>
      <c r="N79" s="257">
        <f t="shared" si="2"/>
        <v>3.663622412291583E-5</v>
      </c>
    </row>
    <row r="80" spans="1:14" ht="18" customHeight="1" x14ac:dyDescent="0.2">
      <c r="A80" s="249" t="s">
        <v>104</v>
      </c>
      <c r="B80" s="250">
        <f>B29</f>
        <v>1.4672501509319484</v>
      </c>
      <c r="C80" s="250">
        <f>C29</f>
        <v>1.3429580992009087</v>
      </c>
      <c r="D80" s="250">
        <f>D29</f>
        <v>0.91388281007849004</v>
      </c>
      <c r="E80" s="250">
        <f>E29</f>
        <v>0.57313187706680435</v>
      </c>
      <c r="F80" s="250">
        <f>SUM(F13:G13)/SUM(F21:G21)</f>
        <v>2.6593048882201726E-2</v>
      </c>
      <c r="G80" s="251">
        <f>F80</f>
        <v>2.6593048882201726E-2</v>
      </c>
      <c r="I80" s="258">
        <f>I29</f>
        <v>4.5261035692529591E-3</v>
      </c>
      <c r="J80" s="256">
        <f>J29</f>
        <v>3.5409789929301246E-3</v>
      </c>
      <c r="K80" s="256">
        <f>K29</f>
        <v>2.9267724039110541E-3</v>
      </c>
      <c r="L80" s="256">
        <f>L29</f>
        <v>1.5941794011283318E-3</v>
      </c>
      <c r="M80" s="256">
        <f>M29</f>
        <v>5.6079090143786325E-5</v>
      </c>
      <c r="N80" s="259">
        <f>N29</f>
        <v>3.663622412291583E-5</v>
      </c>
    </row>
    <row r="81" spans="1:17" ht="18" customHeight="1" x14ac:dyDescent="0.2">
      <c r="A81" s="249" t="s">
        <v>105</v>
      </c>
      <c r="B81" s="250">
        <f>B30</f>
        <v>4.4626571585696979</v>
      </c>
      <c r="C81" s="250">
        <f>C30</f>
        <v>4.1975892809113633</v>
      </c>
      <c r="D81" s="250">
        <f>D30</f>
        <v>3.5093152558879246</v>
      </c>
      <c r="E81" s="250">
        <f>E30</f>
        <v>2.1578153705785619</v>
      </c>
      <c r="F81" s="250">
        <f>SUM(F14:G14)/SUM(F22:G22)</f>
        <v>8.4399675390090953E-2</v>
      </c>
      <c r="G81" s="251">
        <f t="shared" ref="G81:G84" si="3">F81</f>
        <v>8.4399675390090953E-2</v>
      </c>
      <c r="I81" s="258">
        <f>I30</f>
        <v>4.515719016646145E-3</v>
      </c>
      <c r="J81" s="256">
        <f>J30</f>
        <v>3.5341244551440861E-3</v>
      </c>
      <c r="K81" s="256">
        <f>K30</f>
        <v>2.6122746050621596E-3</v>
      </c>
      <c r="L81" s="256">
        <f>L30</f>
        <v>1.4352521210714523E-3</v>
      </c>
      <c r="M81" s="256">
        <f>M30</f>
        <v>5.0704165683643157E-5</v>
      </c>
      <c r="N81" s="259">
        <f>N30</f>
        <v>3.4435963500823794E-5</v>
      </c>
    </row>
    <row r="82" spans="1:17" ht="18" customHeight="1" x14ac:dyDescent="0.2">
      <c r="A82" s="249" t="s">
        <v>106</v>
      </c>
      <c r="B82" s="250">
        <f>B31</f>
        <v>5.1803214676871958</v>
      </c>
      <c r="C82" s="250">
        <f>C31</f>
        <v>4.6761780777440674</v>
      </c>
      <c r="D82" s="250">
        <f>D31</f>
        <v>3.5692882985614869</v>
      </c>
      <c r="E82" s="250">
        <f>E31</f>
        <v>2.1247824192964715</v>
      </c>
      <c r="F82" s="250">
        <f>SUM(F15:G15)/SUM(F23:G23)</f>
        <v>9.7367560441510154E-2</v>
      </c>
      <c r="G82" s="251">
        <f t="shared" si="3"/>
        <v>9.7367560441510154E-2</v>
      </c>
      <c r="I82" s="258">
        <f>I31</f>
        <v>4.0979183377688622E-3</v>
      </c>
      <c r="J82" s="256">
        <f>J31</f>
        <v>3.0448551512768378E-3</v>
      </c>
      <c r="K82" s="256">
        <f>K31</f>
        <v>2.3609005220800324E-3</v>
      </c>
      <c r="L82" s="256">
        <f>L31</f>
        <v>1.2788419519723967E-3</v>
      </c>
      <c r="M82" s="256">
        <f>M31</f>
        <v>4.2304112279745248E-5</v>
      </c>
      <c r="N82" s="259">
        <f>N31</f>
        <v>2.7057913614639561E-5</v>
      </c>
    </row>
    <row r="83" spans="1:17" ht="18" customHeight="1" x14ac:dyDescent="0.2">
      <c r="A83" s="249" t="s">
        <v>107</v>
      </c>
      <c r="B83" s="250">
        <f>B32</f>
        <v>5.3686624694870329</v>
      </c>
      <c r="C83" s="250">
        <f>C32</f>
        <v>5.1268438982589997</v>
      </c>
      <c r="D83" s="250">
        <f>D32</f>
        <v>4.5092188873528922</v>
      </c>
      <c r="E83" s="250">
        <f>E32</f>
        <v>2.4876963232892182</v>
      </c>
      <c r="F83" s="250">
        <f>SUM(F16:G16)/SUM(F24:G24)</f>
        <v>0.11452175366288581</v>
      </c>
      <c r="G83" s="251">
        <f t="shared" si="3"/>
        <v>0.11452175366288581</v>
      </c>
      <c r="I83" s="258">
        <f>I32</f>
        <v>4.6812950862094305E-3</v>
      </c>
      <c r="J83" s="256">
        <f>J32</f>
        <v>3.5839833274979175E-3</v>
      </c>
      <c r="K83" s="256">
        <f>K32</f>
        <v>2.8705024903318021E-3</v>
      </c>
      <c r="L83" s="256">
        <f>L32</f>
        <v>1.5703541937343913E-3</v>
      </c>
      <c r="M83" s="256">
        <f>M32</f>
        <v>5.1811609293130722E-5</v>
      </c>
      <c r="N83" s="259">
        <f>N32</f>
        <v>3.7963120298989997E-5</v>
      </c>
      <c r="P83" s="240"/>
      <c r="Q83" s="338"/>
    </row>
    <row r="84" spans="1:17" ht="18" customHeight="1" thickBot="1" x14ac:dyDescent="0.25">
      <c r="A84" s="252" t="s">
        <v>108</v>
      </c>
      <c r="B84" s="253">
        <f>SUM(B17:C17)/SUM(B25:C25)</f>
        <v>11.47003663352017</v>
      </c>
      <c r="C84" s="253">
        <f>B84</f>
        <v>11.47003663352017</v>
      </c>
      <c r="D84" s="253">
        <f>D33</f>
        <v>5.587539428823753</v>
      </c>
      <c r="E84" s="253">
        <f>E33</f>
        <v>4.2737581588803826</v>
      </c>
      <c r="F84" s="253">
        <f>SUM(F17:G17)/SUM(F25:G25)</f>
        <v>0.23427395164323492</v>
      </c>
      <c r="G84" s="254">
        <f t="shared" si="3"/>
        <v>0.23427395164323492</v>
      </c>
      <c r="I84" s="260">
        <f>I33</f>
        <v>7.249387528514231E-3</v>
      </c>
      <c r="J84" s="261">
        <f>J33</f>
        <v>5.5543888240054502E-3</v>
      </c>
      <c r="K84" s="261">
        <f>K33</f>
        <v>4.7866145082350268E-3</v>
      </c>
      <c r="L84" s="261">
        <f>L33</f>
        <v>2.6303147757790212E-3</v>
      </c>
      <c r="M84" s="261">
        <f>M33</f>
        <v>8.4822097267773014E-5</v>
      </c>
      <c r="N84" s="262">
        <f>N33</f>
        <v>5.1437847843163659E-5</v>
      </c>
      <c r="P84" s="240"/>
      <c r="Q84" s="338"/>
    </row>
    <row r="85" spans="1:17" x14ac:dyDescent="0.2">
      <c r="P85" s="240"/>
      <c r="Q85" s="338"/>
    </row>
    <row r="86" spans="1:17" s="5" customFormat="1" ht="16.5" customHeight="1" x14ac:dyDescent="0.2">
      <c r="A86" s="5" t="s">
        <v>214</v>
      </c>
    </row>
    <row r="87" spans="1:17" ht="5.0999999999999996" customHeight="1" thickBot="1" x14ac:dyDescent="0.25"/>
    <row r="88" spans="1:17" ht="22.5" customHeight="1" x14ac:dyDescent="0.2">
      <c r="A88" s="497" t="s">
        <v>102</v>
      </c>
      <c r="B88" s="183" t="s">
        <v>132</v>
      </c>
      <c r="C88" s="183"/>
      <c r="D88" s="183"/>
      <c r="E88" s="499" t="s">
        <v>131</v>
      </c>
    </row>
    <row r="89" spans="1:17" ht="30" customHeight="1" x14ac:dyDescent="0.2">
      <c r="A89" s="498"/>
      <c r="B89" s="264" t="s">
        <v>100</v>
      </c>
      <c r="C89" s="264" t="s">
        <v>101</v>
      </c>
      <c r="D89" s="264" t="s">
        <v>4</v>
      </c>
      <c r="E89" s="500"/>
    </row>
    <row r="90" spans="1:17" ht="18" customHeight="1" x14ac:dyDescent="0.2">
      <c r="A90" s="246" t="s">
        <v>103</v>
      </c>
      <c r="B90" s="265">
        <f>'I. Datos de entrada'!C114*B79+'I. Datos de entrada'!H114*C79</f>
        <v>532315.02972436277</v>
      </c>
      <c r="C90" s="267">
        <f>SUMPRODUCT(I79:N79,'I. Datos de entrada'!C101:H101)*1000</f>
        <v>115631.53112988177</v>
      </c>
      <c r="D90" s="266">
        <f>SUM(B90:C90)</f>
        <v>647946.56085424451</v>
      </c>
      <c r="E90" s="269">
        <f>B90/D90</f>
        <v>0.82154156204265583</v>
      </c>
    </row>
    <row r="91" spans="1:17" ht="18" customHeight="1" x14ac:dyDescent="0.2">
      <c r="A91" s="249" t="s">
        <v>104</v>
      </c>
      <c r="B91" s="267">
        <f>SUMPRODUCT(B80:G80,'I. Datos de entrada'!C115:H115)</f>
        <v>89839.609177120976</v>
      </c>
      <c r="C91" s="267">
        <f>SUMPRODUCT(I80:N80,'I. Datos de entrada'!C102:H102)*1000</f>
        <v>62615.447436290924</v>
      </c>
      <c r="D91" s="268">
        <f t="shared" ref="D91:D95" si="4">SUM(B91:C91)</f>
        <v>152455.0566134119</v>
      </c>
      <c r="E91" s="270">
        <f t="shared" ref="E91:E95" si="5">B91/D91</f>
        <v>0.58928586019243612</v>
      </c>
      <c r="F91" s="314"/>
      <c r="G91" s="263"/>
    </row>
    <row r="92" spans="1:17" ht="18" customHeight="1" x14ac:dyDescent="0.2">
      <c r="A92" s="249" t="s">
        <v>105</v>
      </c>
      <c r="B92" s="267">
        <f>SUMPRODUCT(B81:G81,'I. Datos de entrada'!C116:H116)</f>
        <v>263256.56635194173</v>
      </c>
      <c r="C92" s="267">
        <f>SUMPRODUCT(I81:N81,'I. Datos de entrada'!C103:H103)*1000</f>
        <v>101563.55753186264</v>
      </c>
      <c r="D92" s="268">
        <f t="shared" si="4"/>
        <v>364820.12388380436</v>
      </c>
      <c r="E92" s="270">
        <f t="shared" si="5"/>
        <v>0.72160648252997484</v>
      </c>
      <c r="F92" s="263"/>
      <c r="G92" s="263"/>
      <c r="I92" s="263"/>
    </row>
    <row r="93" spans="1:17" ht="18" customHeight="1" x14ac:dyDescent="0.2">
      <c r="A93" s="249" t="s">
        <v>106</v>
      </c>
      <c r="B93" s="267">
        <f>SUMPRODUCT(B82:G82,'I. Datos de entrada'!C117:H117)</f>
        <v>74544.60149718124</v>
      </c>
      <c r="C93" s="267">
        <f>SUMPRODUCT(I82:N82,'I. Datos de entrada'!C104:H104)*1000</f>
        <v>28723.832484248396</v>
      </c>
      <c r="D93" s="268">
        <f t="shared" si="4"/>
        <v>103268.43398142964</v>
      </c>
      <c r="E93" s="270">
        <f t="shared" si="5"/>
        <v>0.72185273488882673</v>
      </c>
      <c r="F93" s="263"/>
      <c r="G93" s="263"/>
      <c r="I93" s="263"/>
    </row>
    <row r="94" spans="1:17" ht="18" customHeight="1" x14ac:dyDescent="0.2">
      <c r="A94" s="249" t="s">
        <v>107</v>
      </c>
      <c r="B94" s="267">
        <f>SUMPRODUCT(B83:G83,'I. Datos de entrada'!C118:H118)</f>
        <v>33928.162643293908</v>
      </c>
      <c r="C94" s="267">
        <f>SUMPRODUCT(I83:N83,'I. Datos de entrada'!C105:H105)*1000</f>
        <v>13126.475221309285</v>
      </c>
      <c r="D94" s="268">
        <f t="shared" si="4"/>
        <v>47054.637864603195</v>
      </c>
      <c r="E94" s="270">
        <f t="shared" si="5"/>
        <v>0.72103758913032323</v>
      </c>
      <c r="F94" s="263"/>
      <c r="G94" s="263"/>
      <c r="I94" s="263"/>
    </row>
    <row r="95" spans="1:17" ht="18" customHeight="1" thickBot="1" x14ac:dyDescent="0.25">
      <c r="A95" s="252" t="s">
        <v>108</v>
      </c>
      <c r="B95" s="271">
        <f>SUMPRODUCT(B84:G84,'I. Datos de entrada'!C119:H119)</f>
        <v>104670.93760972748</v>
      </c>
      <c r="C95" s="271">
        <f>SUMPRODUCT(I84:N84,'I. Datos de entrada'!C106:H106)*1000</f>
        <v>44524.125197616362</v>
      </c>
      <c r="D95" s="272">
        <f t="shared" si="4"/>
        <v>149195.06280734384</v>
      </c>
      <c r="E95" s="273">
        <f t="shared" si="5"/>
        <v>0.70157105496774697</v>
      </c>
      <c r="F95" s="263"/>
      <c r="G95" s="263"/>
    </row>
    <row r="96" spans="1:17" ht="7.5" customHeight="1" thickBot="1" x14ac:dyDescent="0.25"/>
    <row r="97" spans="1:5" ht="15.75" customHeight="1" thickBot="1" x14ac:dyDescent="0.25">
      <c r="A97" s="432" t="s">
        <v>1</v>
      </c>
      <c r="B97" s="426">
        <f>SUM(B90:B95)</f>
        <v>1098554.9070036281</v>
      </c>
      <c r="C97" s="426">
        <f>SUM(C90:C95)</f>
        <v>366184.96900120936</v>
      </c>
      <c r="D97" s="427">
        <f>SUM(B97:C97)</f>
        <v>1464739.8760048375</v>
      </c>
      <c r="E97" s="433">
        <f>B97/D97</f>
        <v>0.75</v>
      </c>
    </row>
    <row r="98" spans="1:5" x14ac:dyDescent="0.2">
      <c r="C98" s="240"/>
      <c r="D98" s="89">
        <f>D97-'I. Datos de entrada'!C14</f>
        <v>0</v>
      </c>
    </row>
    <row r="100" spans="1:5" x14ac:dyDescent="0.2">
      <c r="B100" s="315"/>
      <c r="C100" s="314"/>
    </row>
    <row r="101" spans="1:5" x14ac:dyDescent="0.2">
      <c r="B101" s="315"/>
      <c r="C101" s="263"/>
    </row>
    <row r="103" spans="1:5" x14ac:dyDescent="0.2">
      <c r="B103" s="315"/>
    </row>
    <row r="104" spans="1:5" x14ac:dyDescent="0.2">
      <c r="B104" s="315"/>
    </row>
    <row r="105" spans="1:5" x14ac:dyDescent="0.2">
      <c r="B105" s="315"/>
    </row>
    <row r="106" spans="1:5" x14ac:dyDescent="0.2">
      <c r="B106" s="316"/>
    </row>
  </sheetData>
  <mergeCells count="8">
    <mergeCell ref="A77:A78"/>
    <mergeCell ref="A88:A89"/>
    <mergeCell ref="E88:E89"/>
    <mergeCell ref="A11:A12"/>
    <mergeCell ref="A19:A20"/>
    <mergeCell ref="A27:A28"/>
    <mergeCell ref="A37:A38"/>
    <mergeCell ref="A67:A6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1:N98"/>
  <sheetViews>
    <sheetView showGridLines="0" workbookViewId="0"/>
  </sheetViews>
  <sheetFormatPr baseColWidth="10" defaultRowHeight="12.75" x14ac:dyDescent="0.2"/>
  <cols>
    <col min="2" max="2" width="14.140625" customWidth="1"/>
    <col min="3" max="3" width="18.5703125" customWidth="1"/>
    <col min="4" max="4" width="14.28515625" customWidth="1"/>
    <col min="5" max="5" width="13.28515625" customWidth="1"/>
    <col min="6" max="6" width="13.7109375" bestFit="1" customWidth="1"/>
    <col min="7" max="7" width="12.7109375" customWidth="1"/>
    <col min="8" max="8" width="2.28515625" customWidth="1"/>
    <col min="9" max="12" width="12.85546875" bestFit="1" customWidth="1"/>
    <col min="13" max="13" width="11.85546875" bestFit="1" customWidth="1"/>
    <col min="14" max="14" width="12.85546875" bestFit="1" customWidth="1"/>
    <col min="15" max="15" width="4.42578125" customWidth="1"/>
  </cols>
  <sheetData>
    <row r="1" spans="1:14" s="1" customFormat="1" x14ac:dyDescent="0.2"/>
    <row r="2" spans="1:14" s="1" customFormat="1" x14ac:dyDescent="0.2"/>
    <row r="3" spans="1:14" s="1" customFormat="1" x14ac:dyDescent="0.2"/>
    <row r="4" spans="1:14" s="1" customFormat="1" x14ac:dyDescent="0.2"/>
    <row r="5" spans="1:14" s="1" customFormat="1" x14ac:dyDescent="0.2"/>
    <row r="6" spans="1:14" s="413" customFormat="1" ht="30" customHeight="1" x14ac:dyDescent="0.2">
      <c r="A6" s="413" t="s">
        <v>207</v>
      </c>
    </row>
    <row r="7" spans="1:14" s="5" customFormat="1" ht="16.5" customHeight="1" x14ac:dyDescent="0.2">
      <c r="A7" s="5" t="s">
        <v>215</v>
      </c>
    </row>
    <row r="8" spans="1:14" ht="5.0999999999999996" customHeight="1" thickBot="1" x14ac:dyDescent="0.25"/>
    <row r="9" spans="1:14" ht="25.5" customHeight="1" thickBot="1" x14ac:dyDescent="0.25">
      <c r="B9" s="198" t="s">
        <v>100</v>
      </c>
      <c r="C9" s="199"/>
      <c r="D9" s="199"/>
      <c r="E9" s="199"/>
      <c r="F9" s="199"/>
      <c r="G9" s="200"/>
      <c r="I9" s="198" t="s">
        <v>101</v>
      </c>
      <c r="J9" s="199"/>
      <c r="K9" s="199"/>
      <c r="L9" s="199"/>
      <c r="M9" s="199"/>
      <c r="N9" s="200"/>
    </row>
    <row r="10" spans="1:14" ht="13.5" thickBot="1" x14ac:dyDescent="0.25"/>
    <row r="11" spans="1:14" ht="24.95" customHeight="1" x14ac:dyDescent="0.2">
      <c r="A11" s="497" t="s">
        <v>58</v>
      </c>
      <c r="B11" s="183" t="s">
        <v>109</v>
      </c>
      <c r="C11" s="183"/>
      <c r="D11" s="183"/>
      <c r="E11" s="183"/>
      <c r="F11" s="183"/>
      <c r="G11" s="184"/>
      <c r="I11" s="201" t="s">
        <v>133</v>
      </c>
      <c r="J11" s="183"/>
      <c r="K11" s="183"/>
      <c r="L11" s="183"/>
      <c r="M11" s="183"/>
      <c r="N11" s="184"/>
    </row>
    <row r="12" spans="1:14" ht="24.95" customHeight="1" x14ac:dyDescent="0.2">
      <c r="A12" s="498"/>
      <c r="B12" s="185" t="s">
        <v>16</v>
      </c>
      <c r="C12" s="185" t="s">
        <v>17</v>
      </c>
      <c r="D12" s="185" t="s">
        <v>18</v>
      </c>
      <c r="E12" s="185" t="s">
        <v>19</v>
      </c>
      <c r="F12" s="185" t="s">
        <v>20</v>
      </c>
      <c r="G12" s="186" t="s">
        <v>21</v>
      </c>
      <c r="I12" s="202" t="s">
        <v>16</v>
      </c>
      <c r="J12" s="185" t="s">
        <v>17</v>
      </c>
      <c r="K12" s="185" t="s">
        <v>18</v>
      </c>
      <c r="L12" s="185" t="s">
        <v>19</v>
      </c>
      <c r="M12" s="185" t="s">
        <v>20</v>
      </c>
      <c r="N12" s="186" t="s">
        <v>21</v>
      </c>
    </row>
    <row r="13" spans="1:14" ht="15" customHeight="1" x14ac:dyDescent="0.2">
      <c r="A13" s="189" t="s">
        <v>11</v>
      </c>
      <c r="B13" s="190">
        <f>'IV. Metodología de asignación'!J65+'IV. Metodología de asignación'!J67+'IV. Metodología de asignación'!J70+'IV. Metodología de asignación'!J74</f>
        <v>1247714.3183479006</v>
      </c>
      <c r="C13" s="190">
        <f>'IV. Metodología de asignación'!K65+'IV. Metodología de asignación'!K67+'IV. Metodología de asignación'!K70+'IV. Metodología de asignación'!K74</f>
        <v>1153473.496722101</v>
      </c>
      <c r="D13" s="190">
        <f>'IV. Metodología de asignación'!L65+'IV. Metodología de asignación'!L67+'IV. Metodología de asignación'!L70+'IV. Metodología de asignación'!L74</f>
        <v>553588.66535107663</v>
      </c>
      <c r="E13" s="190">
        <f>'IV. Metodología de asignación'!M65+'IV. Metodología de asignación'!M67+'IV. Metodología de asignación'!M70+'IV. Metodología de asignación'!M74</f>
        <v>439815.62986573682</v>
      </c>
      <c r="F13" s="190">
        <f>'IV. Metodología de asignación'!N65+'IV. Metodología de asignación'!N67+'IV. Metodología de asignación'!N70+'IV. Metodología de asignación'!N74</f>
        <v>25990.513998748142</v>
      </c>
      <c r="G13" s="191">
        <f>'IV. Metodología de asignación'!O65+'IV. Metodología de asignación'!O67+'IV. Metodología de asignación'!O70+'IV. Metodología de asignación'!O74</f>
        <v>236732.6604536004</v>
      </c>
      <c r="I13" s="203">
        <f>'IV. Metodología de asignación'!J85+'IV. Metodología de asignación'!J87+'IV. Metodología de asignación'!J90+'IV. Metodología de asignación'!J94</f>
        <v>165037.47449579876</v>
      </c>
      <c r="J13" s="190">
        <f>'IV. Metodología de asignación'!K85+'IV. Metodología de asignación'!K87+'IV. Metodología de asignación'!K90+'IV. Metodología de asignación'!K94</f>
        <v>150426.89471434994</v>
      </c>
      <c r="K13" s="190">
        <f>'IV. Metodología de asignación'!L85+'IV. Metodología de asignación'!L87+'IV. Metodología de asignación'!L90+'IV. Metodología de asignación'!L94</f>
        <v>97113.597406563698</v>
      </c>
      <c r="L13" s="190">
        <f>'IV. Metodología de asignación'!M85+'IV. Metodología de asignación'!M87+'IV. Metodología de asignación'!M90+'IV. Metodología de asignación'!M94</f>
        <v>70343.475419093476</v>
      </c>
      <c r="M13" s="190">
        <f>'IV. Metodología de asignación'!N85+'IV. Metodología de asignación'!N87+'IV. Metodología de asignación'!N90+'IV. Metodología de asignación'!N94</f>
        <v>2724.4572809342408</v>
      </c>
      <c r="N13" s="191">
        <f>'IV. Metodología de asignación'!O85+'IV. Metodología de asignación'!O87+'IV. Metodología de asignación'!O90+'IV. Metodología de asignación'!O94</f>
        <v>3905.1146942934683</v>
      </c>
    </row>
    <row r="14" spans="1:14" ht="15" customHeight="1" x14ac:dyDescent="0.2">
      <c r="A14" s="192" t="s">
        <v>12</v>
      </c>
      <c r="B14" s="193">
        <f>'IV. Metodología de asignación'!J66+'IV. Metodología de asignación'!J69+'IV. Metodología de asignación'!J73</f>
        <v>215201.76048971497</v>
      </c>
      <c r="C14" s="193">
        <f>'IV. Metodología de asignación'!K66+'IV. Metodología de asignación'!K69+'IV. Metodología de asignación'!K73</f>
        <v>205188.62863324737</v>
      </c>
      <c r="D14" s="193">
        <f>'IV. Metodología de asignación'!L66+'IV. Metodología de asignación'!L69+'IV. Metodología de asignación'!L73</f>
        <v>166706.00987263414</v>
      </c>
      <c r="E14" s="193">
        <f>'IV. Metodología de asignación'!M66+'IV. Metodología de asignación'!M69+'IV. Metodología de asignación'!M73</f>
        <v>121126.94959122188</v>
      </c>
      <c r="F14" s="193">
        <f>'IV. Metodología de asignación'!N66+'IV. Metodología de asignación'!N69+'IV. Metodología de asignación'!N73</f>
        <v>4758.0136434529459</v>
      </c>
      <c r="G14" s="194">
        <f>'IV. Metodología de asignación'!O66+'IV. Metodología de asignación'!O69+'IV. Metodología de asignación'!O73</f>
        <v>6579.4968553285726</v>
      </c>
      <c r="I14" s="204">
        <f>'IV. Metodología de asignación'!J86+'IV. Metodología de asignación'!J89+'IV. Metodología de asignación'!J93</f>
        <v>92326.674686196915</v>
      </c>
      <c r="J14" s="193">
        <f>'IV. Metodología de asignación'!K86+'IV. Metodología de asignación'!K89+'IV. Metodología de asignación'!K93</f>
        <v>85227.03063257059</v>
      </c>
      <c r="K14" s="193">
        <f>'IV. Metodología de asignación'!L86+'IV. Metodología de asignación'!L89+'IV. Metodología de asignación'!L93</f>
        <v>57063.058629197541</v>
      </c>
      <c r="L14" s="193">
        <f>'IV. Metodología de asignación'!M86+'IV. Metodología de asignación'!M89+'IV. Metodología de asignación'!M93</f>
        <v>43153.344059197538</v>
      </c>
      <c r="M14" s="193">
        <f>'IV. Metodología de asignación'!N86+'IV. Metodología de asignación'!N89+'IV. Metodología de asignación'!N93</f>
        <v>1723.1959916815833</v>
      </c>
      <c r="N14" s="194">
        <f>'IV. Metodología de asignación'!O86+'IV. Metodología de asignación'!O89+'IV. Metodología de asignación'!O93</f>
        <v>2360.4389241718063</v>
      </c>
    </row>
    <row r="15" spans="1:14" ht="15" customHeight="1" x14ac:dyDescent="0.2">
      <c r="A15" s="192" t="s">
        <v>13</v>
      </c>
      <c r="B15" s="193">
        <f>'IV. Metodología de asignación'!J68+'IV. Metodología de asignación'!J72</f>
        <v>28741.860075426135</v>
      </c>
      <c r="C15" s="193">
        <f>'IV. Metodología de asignación'!K68+'IV. Metodología de asignación'!K72</f>
        <v>29410.061724040374</v>
      </c>
      <c r="D15" s="193">
        <f>'IV. Metodología de asignación'!L68+'IV. Metodología de asignación'!L72</f>
        <v>20751.185081369891</v>
      </c>
      <c r="E15" s="193">
        <f>'IV. Metodología de asignación'!M68+'IV. Metodología de asignación'!M72</f>
        <v>13452.7227218468</v>
      </c>
      <c r="F15" s="193">
        <f>'IV. Metodología de asignación'!N68+'IV. Metodología de asignación'!N72</f>
        <v>383.14701733012765</v>
      </c>
      <c r="G15" s="194">
        <f>'IV. Metodología de asignación'!O68+'IV. Metodología de asignación'!O72</f>
        <v>758.41214746850687</v>
      </c>
      <c r="I15" s="204">
        <f>'IV. Metodología de asignación'!J88+'IV. Metodología de asignación'!J92</f>
        <v>11638.820311954192</v>
      </c>
      <c r="J15" s="193">
        <f>'IV. Metodología de asignación'!K88+'IV. Metodología de asignación'!K92</f>
        <v>11548.76232310729</v>
      </c>
      <c r="K15" s="193">
        <f>'IV. Metodología de asignación'!L88+'IV. Metodología de asignación'!L92</f>
        <v>8341.8551492001679</v>
      </c>
      <c r="L15" s="193">
        <f>'IV. Metodología de asignación'!M88+'IV. Metodología de asignación'!M92</f>
        <v>5549.6231721519671</v>
      </c>
      <c r="M15" s="193">
        <f>'IV. Metodología de asignación'!N88+'IV. Metodología de asignación'!N92</f>
        <v>147.31004123549624</v>
      </c>
      <c r="N15" s="194">
        <f>'IV. Metodología de asignación'!O88+'IV. Metodología de asignación'!O92</f>
        <v>285.36649075074115</v>
      </c>
    </row>
    <row r="16" spans="1:14" ht="15" customHeight="1" x14ac:dyDescent="0.2">
      <c r="A16" s="192" t="s">
        <v>14</v>
      </c>
      <c r="B16" s="193">
        <f>'IV. Metodología de asignación'!J71</f>
        <v>7675.9676929511643</v>
      </c>
      <c r="C16" s="193">
        <f>'IV. Metodología de asignación'!K71</f>
        <v>7857.3728998009974</v>
      </c>
      <c r="D16" s="193">
        <f>'IV. Metodología de asignación'!L71</f>
        <v>7240.8095753043599</v>
      </c>
      <c r="E16" s="193">
        <f>'IV. Metodología de asignación'!M71</f>
        <v>4705.9767955892657</v>
      </c>
      <c r="F16" s="193">
        <f>'IV. Metodología de asignación'!N71</f>
        <v>184.86631153759254</v>
      </c>
      <c r="G16" s="194">
        <f>'IV. Metodología de asignación'!O71</f>
        <v>456.1641877034906</v>
      </c>
      <c r="I16" s="204">
        <f>'IV. Metodología de asignación'!J91</f>
        <v>3187.4056363375707</v>
      </c>
      <c r="J16" s="193">
        <f>'IV. Metodología de asignación'!K91</f>
        <v>3087.8420199619777</v>
      </c>
      <c r="K16" s="193">
        <f>'IV. Metodología de asignación'!L91</f>
        <v>2669.000794394593</v>
      </c>
      <c r="L16" s="193">
        <f>'IV. Metodología de asignación'!M91</f>
        <v>1974.5261531574106</v>
      </c>
      <c r="M16" s="193">
        <f>'IV. Metodología de asignación'!N91</f>
        <v>69.27308911329699</v>
      </c>
      <c r="N16" s="194">
        <f>'IV. Metodología de asignación'!O91</f>
        <v>227.7364451217608</v>
      </c>
    </row>
    <row r="17" spans="1:14" ht="15" customHeight="1" thickBot="1" x14ac:dyDescent="0.25">
      <c r="A17" s="276" t="s">
        <v>15</v>
      </c>
      <c r="B17" s="274"/>
      <c r="C17" s="274"/>
      <c r="D17" s="274"/>
      <c r="E17" s="274"/>
      <c r="F17" s="274"/>
      <c r="G17" s="275"/>
      <c r="I17" s="277"/>
      <c r="J17" s="274"/>
      <c r="K17" s="274"/>
      <c r="L17" s="274"/>
      <c r="M17" s="274"/>
      <c r="N17" s="275"/>
    </row>
    <row r="18" spans="1:14" ht="13.5" thickBot="1" x14ac:dyDescent="0.25">
      <c r="G18" s="240"/>
      <c r="N18" s="240">
        <f>SUM(I13:N16)-SUM('IV. Metodología de asignación'!E23:H23)</f>
        <v>0</v>
      </c>
    </row>
    <row r="19" spans="1:14" ht="24" customHeight="1" x14ac:dyDescent="0.2">
      <c r="A19" s="497" t="s">
        <v>58</v>
      </c>
      <c r="B19" s="183" t="s">
        <v>110</v>
      </c>
      <c r="C19" s="183"/>
      <c r="D19" s="183"/>
      <c r="E19" s="183"/>
      <c r="F19" s="183"/>
      <c r="G19" s="184"/>
      <c r="I19" s="201" t="s">
        <v>117</v>
      </c>
      <c r="J19" s="183"/>
      <c r="K19" s="183"/>
      <c r="L19" s="183"/>
      <c r="M19" s="183"/>
      <c r="N19" s="184"/>
    </row>
    <row r="20" spans="1:14" ht="24" customHeight="1" x14ac:dyDescent="0.2">
      <c r="A20" s="498"/>
      <c r="B20" s="185" t="s">
        <v>16</v>
      </c>
      <c r="C20" s="185" t="s">
        <v>17</v>
      </c>
      <c r="D20" s="185" t="s">
        <v>18</v>
      </c>
      <c r="E20" s="185" t="s">
        <v>19</v>
      </c>
      <c r="F20" s="185" t="s">
        <v>20</v>
      </c>
      <c r="G20" s="186" t="s">
        <v>21</v>
      </c>
      <c r="I20" s="202" t="s">
        <v>16</v>
      </c>
      <c r="J20" s="185" t="s">
        <v>17</v>
      </c>
      <c r="K20" s="185" t="s">
        <v>18</v>
      </c>
      <c r="L20" s="185" t="s">
        <v>19</v>
      </c>
      <c r="M20" s="185" t="s">
        <v>20</v>
      </c>
      <c r="N20" s="186" t="s">
        <v>21</v>
      </c>
    </row>
    <row r="21" spans="1:14" ht="15" customHeight="1" x14ac:dyDescent="0.2">
      <c r="A21" s="189" t="s">
        <v>11</v>
      </c>
      <c r="B21" s="190">
        <f>'I. Datos de entrada'!C114+'I. Datos de entrada'!C115</f>
        <v>143010.30662016582</v>
      </c>
      <c r="C21" s="190">
        <f>'I. Datos de entrada'!D114+'I. Datos de entrada'!D115</f>
        <v>143010.30662016582</v>
      </c>
      <c r="D21" s="190">
        <f>'I. Datos de entrada'!E114+'I. Datos de entrada'!E115</f>
        <v>143010.30662016582</v>
      </c>
      <c r="E21" s="190">
        <f>'I. Datos de entrada'!F114+'I. Datos de entrada'!F115</f>
        <v>143010.30662016582</v>
      </c>
      <c r="F21" s="190">
        <f>'I. Datos de entrada'!G114+'I. Datos de entrada'!G115</f>
        <v>143010.30662016582</v>
      </c>
      <c r="G21" s="191">
        <f>'I. Datos de entrada'!H114+'I. Datos de entrada'!H115</f>
        <v>143059.52538083273</v>
      </c>
      <c r="I21" s="203">
        <f>('I. Datos de entrada'!C101+'I. Datos de entrada'!C102)*1000</f>
        <v>13105626.109328471</v>
      </c>
      <c r="J21" s="190">
        <f>('I. Datos de entrada'!D101+'I. Datos de entrada'!D102)*1000</f>
        <v>15661605.923908038</v>
      </c>
      <c r="K21" s="190">
        <f>('I. Datos de entrada'!E101+'I. Datos de entrada'!E102)*1000</f>
        <v>12923598.223674146</v>
      </c>
      <c r="L21" s="190">
        <f>('I. Datos de entrada'!F101+'I. Datos de entrada'!F102)*1000</f>
        <v>14711753.722044777</v>
      </c>
      <c r="M21" s="190">
        <f>('I. Datos de entrada'!G101+'I. Datos de entrada'!G102)*1000</f>
        <v>5998079.1211256981</v>
      </c>
      <c r="N21" s="191">
        <f>('I. Datos de entrada'!H101+'I. Datos de entrada'!H102)*1000</f>
        <v>50719410.355725937</v>
      </c>
    </row>
    <row r="22" spans="1:14" ht="15" customHeight="1" x14ac:dyDescent="0.2">
      <c r="A22" s="192" t="s">
        <v>12</v>
      </c>
      <c r="B22" s="193">
        <f>'I. Datos de entrada'!C116</f>
        <v>17910.358725226339</v>
      </c>
      <c r="C22" s="193">
        <f>'I. Datos de entrada'!D116</f>
        <v>18100.43402872359</v>
      </c>
      <c r="D22" s="193">
        <f>'I. Datos de entrada'!E116</f>
        <v>18261.01800616832</v>
      </c>
      <c r="E22" s="193">
        <f>'I. Datos de entrada'!F116</f>
        <v>18351.717043986329</v>
      </c>
      <c r="F22" s="193">
        <f>'I. Datos de entrada'!G116</f>
        <v>18489.246648591979</v>
      </c>
      <c r="G22" s="194">
        <f>'I. Datos de entrada'!H116</f>
        <v>24962.36270159639</v>
      </c>
      <c r="I22" s="204">
        <f>'I. Datos de entrada'!C103*1000</f>
        <v>7348357.4614952048</v>
      </c>
      <c r="J22" s="193">
        <f>'I. Datos de entrada'!D103*1000</f>
        <v>8850167.2075083293</v>
      </c>
      <c r="K22" s="193">
        <f>'I. Datos de entrada'!E103*1000</f>
        <v>8367899.2446384765</v>
      </c>
      <c r="L22" s="193">
        <f>'I. Datos de entrada'!F103*1000</f>
        <v>9713799.7050765418</v>
      </c>
      <c r="M22" s="193">
        <f>'I. Datos de entrada'!G103*1000</f>
        <v>4018639.7236762899</v>
      </c>
      <c r="N22" s="194">
        <f>'I. Datos de entrada'!H103*1000</f>
        <v>31887696.20007946</v>
      </c>
    </row>
    <row r="23" spans="1:14" ht="15" customHeight="1" x14ac:dyDescent="0.2">
      <c r="A23" s="192" t="s">
        <v>13</v>
      </c>
      <c r="B23" s="193">
        <f>'I. Datos de entrada'!C117</f>
        <v>4588.3186794678977</v>
      </c>
      <c r="C23" s="193">
        <f>'I. Datos de entrada'!D117</f>
        <v>4765.1907981895301</v>
      </c>
      <c r="D23" s="193">
        <f>'I. Datos de entrada'!E117</f>
        <v>4789.1314839349761</v>
      </c>
      <c r="E23" s="193">
        <f>'I. Datos de entrada'!F117</f>
        <v>4842.4000771830069</v>
      </c>
      <c r="F23" s="193">
        <f>'I. Datos de entrada'!G117</f>
        <v>4888.079545788125</v>
      </c>
      <c r="G23" s="194">
        <f>'I. Datos de entrada'!H117</f>
        <v>6511.1736805344253</v>
      </c>
      <c r="I23" s="204">
        <f>'I. Datos de entrada'!C104*1000</f>
        <v>2249035.240585146</v>
      </c>
      <c r="J23" s="193">
        <f>'I. Datos de entrada'!D104*1000</f>
        <v>2913078.1876007761</v>
      </c>
      <c r="K23" s="193">
        <f>'I. Datos de entrada'!E104*1000</f>
        <v>2644316.8427591687</v>
      </c>
      <c r="L23" s="193">
        <f>'I. Datos de entrada'!F104*1000</f>
        <v>3128218.0964022726</v>
      </c>
      <c r="M23" s="193">
        <f>'I. Datos de entrada'!G104*1000</f>
        <v>1378271.3170981565</v>
      </c>
      <c r="N23" s="194">
        <f>'I. Datos de entrada'!H104*1000</f>
        <v>12410288.280022774</v>
      </c>
    </row>
    <row r="24" spans="1:14" ht="15" customHeight="1" x14ac:dyDescent="0.2">
      <c r="A24" s="192" t="s">
        <v>14</v>
      </c>
      <c r="B24" s="193">
        <f>'I. Datos de entrada'!C118</f>
        <v>1834.3812100366376</v>
      </c>
      <c r="C24" s="193">
        <f>'I. Datos de entrada'!D118</f>
        <v>1930.0469980140933</v>
      </c>
      <c r="D24" s="193">
        <f>'I. Datos de entrada'!E118</f>
        <v>1944.1964556083869</v>
      </c>
      <c r="E24" s="193">
        <f>'I. Datos de entrada'!F118</f>
        <v>1970.1607729411585</v>
      </c>
      <c r="F24" s="193">
        <f>'I. Datos de entrada'!G118</f>
        <v>1999.8782981054317</v>
      </c>
      <c r="G24" s="194">
        <f>'I. Datos de entrada'!H118</f>
        <v>2514.2887059197101</v>
      </c>
      <c r="I24" s="204">
        <f>'I. Datos de entrada'!C105*1000</f>
        <v>834021.87476251693</v>
      </c>
      <c r="J24" s="193">
        <f>'I. Datos de entrada'!D105*1000</f>
        <v>1105250.781434265</v>
      </c>
      <c r="K24" s="193">
        <f>'I. Datos de entrada'!E105*1000</f>
        <v>1053247.3693529735</v>
      </c>
      <c r="L24" s="193">
        <f>'I. Datos de entrada'!F105*1000</f>
        <v>1267673.2117090162</v>
      </c>
      <c r="M24" s="193">
        <f>'I. Datos de entrada'!G105*1000</f>
        <v>558385.66467954952</v>
      </c>
      <c r="N24" s="194">
        <f>'I. Datos de entrada'!H105*1000</f>
        <v>5742318.8943006136</v>
      </c>
    </row>
    <row r="25" spans="1:14" ht="15" customHeight="1" thickBot="1" x14ac:dyDescent="0.25">
      <c r="A25" s="276" t="s">
        <v>15</v>
      </c>
      <c r="B25" s="274"/>
      <c r="C25" s="274"/>
      <c r="D25" s="274"/>
      <c r="E25" s="274"/>
      <c r="F25" s="274"/>
      <c r="G25" s="275"/>
      <c r="I25" s="277"/>
      <c r="J25" s="274"/>
      <c r="K25" s="274"/>
      <c r="L25" s="274"/>
      <c r="M25" s="274"/>
      <c r="N25" s="275"/>
    </row>
    <row r="26" spans="1:14" ht="13.5" thickBot="1" x14ac:dyDescent="0.25">
      <c r="A26" s="187"/>
      <c r="B26" s="317"/>
      <c r="C26" s="317"/>
      <c r="D26" s="317"/>
      <c r="E26" s="317"/>
      <c r="F26" s="317"/>
      <c r="G26" s="317"/>
      <c r="I26" s="188"/>
      <c r="J26" s="188"/>
      <c r="K26" s="188"/>
      <c r="L26" s="188"/>
      <c r="M26" s="188"/>
      <c r="N26" s="188"/>
    </row>
    <row r="27" spans="1:14" ht="24" customHeight="1" x14ac:dyDescent="0.2">
      <c r="A27" s="497" t="s">
        <v>58</v>
      </c>
      <c r="B27" s="183" t="s">
        <v>111</v>
      </c>
      <c r="C27" s="183"/>
      <c r="D27" s="183"/>
      <c r="E27" s="183"/>
      <c r="F27" s="183"/>
      <c r="G27" s="184"/>
      <c r="I27" s="201" t="s">
        <v>116</v>
      </c>
      <c r="J27" s="183"/>
      <c r="K27" s="183"/>
      <c r="L27" s="183"/>
      <c r="M27" s="183"/>
      <c r="N27" s="184"/>
    </row>
    <row r="28" spans="1:14" ht="24" customHeight="1" x14ac:dyDescent="0.2">
      <c r="A28" s="498"/>
      <c r="B28" s="185" t="s">
        <v>16</v>
      </c>
      <c r="C28" s="185" t="s">
        <v>17</v>
      </c>
      <c r="D28" s="185" t="s">
        <v>18</v>
      </c>
      <c r="E28" s="185" t="s">
        <v>19</v>
      </c>
      <c r="F28" s="185" t="s">
        <v>20</v>
      </c>
      <c r="G28" s="186" t="s">
        <v>21</v>
      </c>
      <c r="I28" s="202" t="s">
        <v>16</v>
      </c>
      <c r="J28" s="185" t="s">
        <v>17</v>
      </c>
      <c r="K28" s="185" t="s">
        <v>18</v>
      </c>
      <c r="L28" s="185" t="s">
        <v>19</v>
      </c>
      <c r="M28" s="185" t="s">
        <v>20</v>
      </c>
      <c r="N28" s="186" t="s">
        <v>21</v>
      </c>
    </row>
    <row r="29" spans="1:14" ht="15" customHeight="1" x14ac:dyDescent="0.2">
      <c r="A29" s="189" t="s">
        <v>11</v>
      </c>
      <c r="B29" s="225">
        <f>B13/B21</f>
        <v>8.7246461310080221</v>
      </c>
      <c r="C29" s="225">
        <f>C13/C21</f>
        <v>8.0656669017969236</v>
      </c>
      <c r="D29" s="225">
        <f>D13/D21</f>
        <v>3.8709704106949685</v>
      </c>
      <c r="E29" s="225">
        <f>E13/E21</f>
        <v>3.0754121172111284</v>
      </c>
      <c r="F29" s="225">
        <f>F13/F21</f>
        <v>0.18173874745810265</v>
      </c>
      <c r="G29" s="226">
        <f>G13/G21</f>
        <v>1.654784327177127</v>
      </c>
      <c r="I29" s="231">
        <f>I13/I21</f>
        <v>1.2592872184742591E-2</v>
      </c>
      <c r="J29" s="232">
        <f>J13/J21</f>
        <v>9.604819291533671E-3</v>
      </c>
      <c r="K29" s="232">
        <f>K13/K21</f>
        <v>7.514439533462574E-3</v>
      </c>
      <c r="L29" s="232">
        <f>L13/L21</f>
        <v>4.781447320837592E-3</v>
      </c>
      <c r="M29" s="232">
        <f>M13/M21</f>
        <v>4.5422163094489565E-4</v>
      </c>
      <c r="N29" s="233">
        <f>N13/N21</f>
        <v>7.6994481341650744E-5</v>
      </c>
    </row>
    <row r="30" spans="1:14" ht="15" customHeight="1" x14ac:dyDescent="0.2">
      <c r="A30" s="192" t="s">
        <v>12</v>
      </c>
      <c r="B30" s="227">
        <f>B14/B22</f>
        <v>12.015491358451024</v>
      </c>
      <c r="C30" s="227">
        <f>C14/C22</f>
        <v>11.336116488015337</v>
      </c>
      <c r="D30" s="227">
        <f>D14/D22</f>
        <v>9.1290644265463818</v>
      </c>
      <c r="E30" s="227">
        <f>E14/E22</f>
        <v>6.6003060804010136</v>
      </c>
      <c r="F30" s="227">
        <f>F14/F22</f>
        <v>0.25733950841178732</v>
      </c>
      <c r="G30" s="228">
        <f>G14/G22</f>
        <v>0.2635766867896604</v>
      </c>
      <c r="I30" s="234">
        <f>I14/I22</f>
        <v>1.2564260131598276E-2</v>
      </c>
      <c r="J30" s="235">
        <f>J14/J22</f>
        <v>9.6299910085614476E-3</v>
      </c>
      <c r="K30" s="235">
        <f>K14/K22</f>
        <v>6.8192812748981502E-3</v>
      </c>
      <c r="L30" s="235">
        <f>L14/L22</f>
        <v>4.4424782648797168E-3</v>
      </c>
      <c r="M30" s="235">
        <f>M14/M22</f>
        <v>4.2880081574100086E-4</v>
      </c>
      <c r="N30" s="236">
        <f>N14/N22</f>
        <v>7.402350139568641E-5</v>
      </c>
    </row>
    <row r="31" spans="1:14" ht="15" customHeight="1" x14ac:dyDescent="0.2">
      <c r="A31" s="192" t="s">
        <v>13</v>
      </c>
      <c r="B31" s="227">
        <f>B15/B23</f>
        <v>6.2641377121519595</v>
      </c>
      <c r="C31" s="227">
        <f>C15/C23</f>
        <v>6.1718539654727635</v>
      </c>
      <c r="D31" s="227">
        <f>D15/D23</f>
        <v>4.3329746011315899</v>
      </c>
      <c r="E31" s="227">
        <f>E15/E23</f>
        <v>2.7781105458912676</v>
      </c>
      <c r="F31" s="227">
        <f>F15/F23</f>
        <v>7.8383957081932326E-2</v>
      </c>
      <c r="G31" s="228">
        <f>G15/G23</f>
        <v>0.11647856203495677</v>
      </c>
      <c r="I31" s="234">
        <f>I15/I23</f>
        <v>5.1750279861893338E-3</v>
      </c>
      <c r="J31" s="235">
        <f>J15/J23</f>
        <v>3.9644532619355823E-3</v>
      </c>
      <c r="K31" s="235">
        <f>K15/K23</f>
        <v>3.1546352594025748E-3</v>
      </c>
      <c r="L31" s="235">
        <f>L15/L23</f>
        <v>1.7740525120465624E-3</v>
      </c>
      <c r="M31" s="235">
        <f>M15/M23</f>
        <v>1.0688029229661843E-4</v>
      </c>
      <c r="N31" s="236">
        <f>N15/N23</f>
        <v>2.2994348262651113E-5</v>
      </c>
    </row>
    <row r="32" spans="1:14" ht="15" customHeight="1" x14ac:dyDescent="0.2">
      <c r="A32" s="192" t="s">
        <v>14</v>
      </c>
      <c r="B32" s="227">
        <f>B16/B24</f>
        <v>4.184499738087621</v>
      </c>
      <c r="C32" s="227">
        <f>C16/C24</f>
        <v>4.0710785322252665</v>
      </c>
      <c r="D32" s="227">
        <f>D16/D24</f>
        <v>3.7243199134618998</v>
      </c>
      <c r="E32" s="227">
        <f>E16/E24</f>
        <v>2.3886257711668568</v>
      </c>
      <c r="F32" s="227">
        <f>F16/F24</f>
        <v>9.2438780756171068E-2</v>
      </c>
      <c r="G32" s="228">
        <f>G16/G24</f>
        <v>0.18142872241739191</v>
      </c>
      <c r="I32" s="234">
        <f>I16/I24</f>
        <v>3.8217290610575013E-3</v>
      </c>
      <c r="J32" s="235">
        <f>J16/J24</f>
        <v>2.7937931117813265E-3</v>
      </c>
      <c r="K32" s="235">
        <f>K16/K24</f>
        <v>2.5340683224627488E-3</v>
      </c>
      <c r="L32" s="235">
        <f>L16/L24</f>
        <v>1.5575987051863699E-3</v>
      </c>
      <c r="M32" s="235">
        <f>M16/M24</f>
        <v>1.2405957655279697E-4</v>
      </c>
      <c r="N32" s="236">
        <f>N16/N24</f>
        <v>3.9659316961270572E-5</v>
      </c>
    </row>
    <row r="33" spans="1:14" ht="15" customHeight="1" thickBot="1" x14ac:dyDescent="0.25">
      <c r="A33" s="276" t="s">
        <v>15</v>
      </c>
      <c r="B33" s="281"/>
      <c r="C33" s="281"/>
      <c r="D33" s="281"/>
      <c r="E33" s="281"/>
      <c r="F33" s="281"/>
      <c r="G33" s="282"/>
      <c r="I33" s="278"/>
      <c r="J33" s="279"/>
      <c r="K33" s="279"/>
      <c r="L33" s="279"/>
      <c r="M33" s="279"/>
      <c r="N33" s="280"/>
    </row>
    <row r="35" spans="1:14" s="5" customFormat="1" ht="16.5" customHeight="1" x14ac:dyDescent="0.2">
      <c r="A35" s="5" t="s">
        <v>118</v>
      </c>
    </row>
    <row r="36" spans="1:14" ht="5.0999999999999996" customHeight="1" thickBot="1" x14ac:dyDescent="0.25">
      <c r="A36" s="213"/>
      <c r="B36" s="215"/>
      <c r="C36" s="48"/>
    </row>
    <row r="37" spans="1:14" ht="18" customHeight="1" x14ac:dyDescent="0.2">
      <c r="A37" s="497" t="s">
        <v>58</v>
      </c>
      <c r="B37" s="183" t="s">
        <v>100</v>
      </c>
      <c r="C37" s="183"/>
      <c r="D37" s="183"/>
      <c r="E37" s="183"/>
      <c r="F37" s="183"/>
      <c r="G37" s="184"/>
      <c r="I37" s="201" t="s">
        <v>101</v>
      </c>
      <c r="J37" s="183"/>
      <c r="K37" s="183"/>
      <c r="L37" s="183"/>
      <c r="M37" s="183"/>
      <c r="N37" s="184"/>
    </row>
    <row r="38" spans="1:14" ht="18" customHeight="1" x14ac:dyDescent="0.2">
      <c r="A38" s="498"/>
      <c r="B38" s="185" t="s">
        <v>16</v>
      </c>
      <c r="C38" s="185" t="s">
        <v>17</v>
      </c>
      <c r="D38" s="185" t="s">
        <v>18</v>
      </c>
      <c r="E38" s="185" t="s">
        <v>19</v>
      </c>
      <c r="F38" s="185" t="s">
        <v>20</v>
      </c>
      <c r="G38" s="186" t="s">
        <v>21</v>
      </c>
      <c r="I38" s="202" t="s">
        <v>16</v>
      </c>
      <c r="J38" s="185" t="s">
        <v>17</v>
      </c>
      <c r="K38" s="185" t="s">
        <v>18</v>
      </c>
      <c r="L38" s="185" t="s">
        <v>19</v>
      </c>
      <c r="M38" s="185" t="s">
        <v>20</v>
      </c>
      <c r="N38" s="186" t="s">
        <v>21</v>
      </c>
    </row>
    <row r="39" spans="1:14" ht="15" customHeight="1" x14ac:dyDescent="0.2">
      <c r="A39" s="189" t="s">
        <v>11</v>
      </c>
      <c r="B39" s="216">
        <f>B29/$G29</f>
        <v>5.2723765796665916</v>
      </c>
      <c r="C39" s="216">
        <f>C29/$G29</f>
        <v>4.8741499235468524</v>
      </c>
      <c r="D39" s="216">
        <f>D29/$G29</f>
        <v>2.3392597736880925</v>
      </c>
      <c r="E39" s="216">
        <f>E29/$G29</f>
        <v>1.8584972474675476</v>
      </c>
      <c r="F39" s="216">
        <f>F29/$G29</f>
        <v>0.10982624410525339</v>
      </c>
      <c r="G39" s="219">
        <f>G29/$G29</f>
        <v>1</v>
      </c>
      <c r="I39" s="218">
        <f>I29/$N29</f>
        <v>163.55551677611447</v>
      </c>
      <c r="J39" s="216">
        <f>J29/$N29</f>
        <v>124.74685359478968</v>
      </c>
      <c r="K39" s="216">
        <f>K29/$N29</f>
        <v>97.597118683330635</v>
      </c>
      <c r="L39" s="216">
        <f>L29/$N29</f>
        <v>62.101169298364141</v>
      </c>
      <c r="M39" s="216">
        <f>M29/$N29</f>
        <v>5.8994050356591083</v>
      </c>
      <c r="N39" s="219">
        <f>N29/$N29</f>
        <v>1</v>
      </c>
    </row>
    <row r="40" spans="1:14" ht="15" customHeight="1" x14ac:dyDescent="0.2">
      <c r="A40" s="192" t="s">
        <v>12</v>
      </c>
      <c r="B40" s="217">
        <f>B30/$G30</f>
        <v>45.58632064466169</v>
      </c>
      <c r="C40" s="217">
        <f>C30/$G30</f>
        <v>43.008798031753813</v>
      </c>
      <c r="D40" s="217">
        <f>D30/$G30</f>
        <v>34.635325823909312</v>
      </c>
      <c r="E40" s="217">
        <f>E30/$G30</f>
        <v>25.041312115999823</v>
      </c>
      <c r="F40" s="217">
        <f>F30/$G30</f>
        <v>0.97633638067978878</v>
      </c>
      <c r="G40" s="221">
        <f>G30/$G30</f>
        <v>1</v>
      </c>
      <c r="I40" s="220">
        <f>I30/$N30</f>
        <v>169.73339405328963</v>
      </c>
      <c r="J40" s="217">
        <f>J30/$N30</f>
        <v>130.09369763644574</v>
      </c>
      <c r="K40" s="217">
        <f>K30/$N30</f>
        <v>92.12319258509882</v>
      </c>
      <c r="L40" s="217">
        <f>L30/$N30</f>
        <v>60.014430297383832</v>
      </c>
      <c r="M40" s="217">
        <f>M30/$N30</f>
        <v>5.792765914285547</v>
      </c>
      <c r="N40" s="221">
        <f>N30/$N30</f>
        <v>1</v>
      </c>
    </row>
    <row r="41" spans="1:14" ht="15" customHeight="1" x14ac:dyDescent="0.2">
      <c r="A41" s="192" t="s">
        <v>13</v>
      </c>
      <c r="B41" s="217">
        <f>B31/$G31</f>
        <v>53.779318723663572</v>
      </c>
      <c r="C41" s="217">
        <f>C31/$G31</f>
        <v>52.987037765975408</v>
      </c>
      <c r="D41" s="217">
        <f>D31/$G31</f>
        <v>37.199760414549132</v>
      </c>
      <c r="E41" s="217">
        <f>E31/$G31</f>
        <v>23.850831409281302</v>
      </c>
      <c r="F41" s="217">
        <f>F31/$G31</f>
        <v>0.6729474996300886</v>
      </c>
      <c r="G41" s="221">
        <f>G31/$G31</f>
        <v>1</v>
      </c>
      <c r="I41" s="220">
        <f>I31/$N31</f>
        <v>225.05651941416161</v>
      </c>
      <c r="J41" s="217">
        <f>J31/$N31</f>
        <v>172.40989901744248</v>
      </c>
      <c r="K41" s="217">
        <f>K31/$N31</f>
        <v>137.19176657537776</v>
      </c>
      <c r="L41" s="217">
        <f>L31/$N31</f>
        <v>77.151676219851453</v>
      </c>
      <c r="M41" s="217">
        <f>M31/$N31</f>
        <v>4.6481114000617367</v>
      </c>
      <c r="N41" s="221">
        <f>N31/$N31</f>
        <v>1</v>
      </c>
    </row>
    <row r="42" spans="1:14" ht="15" customHeight="1" x14ac:dyDescent="0.2">
      <c r="A42" s="192" t="s">
        <v>14</v>
      </c>
      <c r="B42" s="217">
        <f>B32/$G32</f>
        <v>23.064152590243292</v>
      </c>
      <c r="C42" s="217">
        <f>C32/$G32</f>
        <v>22.43899685772692</v>
      </c>
      <c r="D42" s="217">
        <f>D32/$G32</f>
        <v>20.527730470888677</v>
      </c>
      <c r="E42" s="217">
        <f>E32/$G32</f>
        <v>13.165642900089567</v>
      </c>
      <c r="F42" s="217">
        <f>F32/$G32</f>
        <v>0.50950466676113138</v>
      </c>
      <c r="G42" s="221">
        <f>G32/$G32</f>
        <v>1</v>
      </c>
      <c r="I42" s="220">
        <f>I32/$N32</f>
        <v>96.363965743273454</v>
      </c>
      <c r="J42" s="217">
        <f>J32/$N32</f>
        <v>70.444811606554239</v>
      </c>
      <c r="K42" s="217">
        <f>K32/$N32</f>
        <v>63.895914418732957</v>
      </c>
      <c r="L42" s="217">
        <f>L32/$N32</f>
        <v>39.274471285207653</v>
      </c>
      <c r="M42" s="217">
        <f>M32/$N32</f>
        <v>3.128131951287707</v>
      </c>
      <c r="N42" s="221">
        <f>N32/$N32</f>
        <v>1</v>
      </c>
    </row>
    <row r="43" spans="1:14" ht="15" customHeight="1" thickBot="1" x14ac:dyDescent="0.25">
      <c r="A43" s="195" t="s">
        <v>15</v>
      </c>
      <c r="B43" s="223"/>
      <c r="C43" s="223"/>
      <c r="D43" s="223"/>
      <c r="E43" s="223"/>
      <c r="F43" s="223"/>
      <c r="G43" s="224"/>
      <c r="I43" s="222"/>
      <c r="J43" s="223"/>
      <c r="K43" s="223"/>
      <c r="L43" s="223"/>
      <c r="M43" s="223"/>
      <c r="N43" s="224"/>
    </row>
    <row r="65" spans="1:14" s="5" customFormat="1" ht="16.5" customHeight="1" x14ac:dyDescent="0.2">
      <c r="A65" s="5" t="s">
        <v>134</v>
      </c>
    </row>
    <row r="66" spans="1:14" ht="5.0999999999999996" customHeight="1" thickBot="1" x14ac:dyDescent="0.25">
      <c r="A66" s="213"/>
      <c r="B66" s="215"/>
      <c r="C66" s="48"/>
    </row>
    <row r="67" spans="1:14" ht="18" customHeight="1" x14ac:dyDescent="0.2">
      <c r="A67" s="497" t="s">
        <v>58</v>
      </c>
      <c r="B67" s="183" t="s">
        <v>100</v>
      </c>
      <c r="C67" s="183"/>
      <c r="D67" s="183"/>
      <c r="E67" s="183"/>
      <c r="F67" s="183"/>
      <c r="G67" s="184"/>
      <c r="I67" s="201" t="s">
        <v>101</v>
      </c>
      <c r="J67" s="183"/>
      <c r="K67" s="183"/>
      <c r="L67" s="183"/>
      <c r="M67" s="183"/>
      <c r="N67" s="184"/>
    </row>
    <row r="68" spans="1:14" ht="18" customHeight="1" x14ac:dyDescent="0.2">
      <c r="A68" s="498"/>
      <c r="B68" s="185" t="s">
        <v>16</v>
      </c>
      <c r="C68" s="185" t="s">
        <v>17</v>
      </c>
      <c r="D68" s="185" t="s">
        <v>18</v>
      </c>
      <c r="E68" s="185" t="s">
        <v>19</v>
      </c>
      <c r="F68" s="185" t="s">
        <v>20</v>
      </c>
      <c r="G68" s="186" t="s">
        <v>21</v>
      </c>
      <c r="I68" s="202" t="s">
        <v>16</v>
      </c>
      <c r="J68" s="185" t="s">
        <v>17</v>
      </c>
      <c r="K68" s="185" t="s">
        <v>18</v>
      </c>
      <c r="L68" s="185" t="s">
        <v>19</v>
      </c>
      <c r="M68" s="185" t="s">
        <v>20</v>
      </c>
      <c r="N68" s="186" t="s">
        <v>21</v>
      </c>
    </row>
    <row r="69" spans="1:14" ht="18" customHeight="1" x14ac:dyDescent="0.2">
      <c r="A69" s="189" t="s">
        <v>11</v>
      </c>
      <c r="B69" s="216">
        <f>B29/B$32</f>
        <v>2.0849914391428106</v>
      </c>
      <c r="C69" s="216">
        <f>C29/C$32</f>
        <v>1.9812113271586045</v>
      </c>
      <c r="D69" s="216">
        <f>D29/D$32</f>
        <v>1.0393764501011278</v>
      </c>
      <c r="E69" s="216">
        <f>E29/E$32</f>
        <v>1.2875236273234936</v>
      </c>
      <c r="F69" s="216">
        <f>F29/F$32</f>
        <v>1.9660444022674981</v>
      </c>
      <c r="G69" s="219">
        <f>G29/G$32</f>
        <v>9.1208509056805109</v>
      </c>
      <c r="I69" s="218">
        <f>I29/I$32</f>
        <v>3.2950719382650449</v>
      </c>
      <c r="J69" s="216">
        <f>J29/J$32</f>
        <v>3.4379135845923909</v>
      </c>
      <c r="K69" s="216">
        <f>K29/K$32</f>
        <v>2.9653657980932508</v>
      </c>
      <c r="L69" s="216">
        <f>L29/L$32</f>
        <v>3.0697555826906533</v>
      </c>
      <c r="M69" s="216">
        <f>M29/M$32</f>
        <v>3.661318566177671</v>
      </c>
      <c r="N69" s="219">
        <f>N29/N$32</f>
        <v>1.941397059783958</v>
      </c>
    </row>
    <row r="70" spans="1:14" ht="18" customHeight="1" x14ac:dyDescent="0.2">
      <c r="A70" s="192" t="s">
        <v>12</v>
      </c>
      <c r="B70" s="217">
        <f>B30/B$32</f>
        <v>2.8714283930012345</v>
      </c>
      <c r="C70" s="217">
        <f>C30/C$32</f>
        <v>2.7845487131438298</v>
      </c>
      <c r="D70" s="217">
        <f>D30/D$32</f>
        <v>2.451203075640342</v>
      </c>
      <c r="E70" s="217">
        <f>E30/E$32</f>
        <v>2.7632231721157088</v>
      </c>
      <c r="F70" s="217">
        <f>F30/F$32</f>
        <v>2.7838912013625596</v>
      </c>
      <c r="G70" s="221">
        <f>G30/G$32</f>
        <v>1.4527836787787121</v>
      </c>
      <c r="I70" s="220">
        <f>I30/I$32</f>
        <v>3.2875852607200917</v>
      </c>
      <c r="J70" s="217">
        <f>J30/J$32</f>
        <v>3.4469234561256941</v>
      </c>
      <c r="K70" s="217">
        <f>K30/K$32</f>
        <v>2.6910408115085045</v>
      </c>
      <c r="L70" s="217">
        <f>L30/L$32</f>
        <v>2.8521327413071811</v>
      </c>
      <c r="M70" s="217">
        <f>M30/M$32</f>
        <v>3.4564104413052936</v>
      </c>
      <c r="N70" s="221">
        <f>N30/N$32</f>
        <v>1.8664845253884299</v>
      </c>
    </row>
    <row r="71" spans="1:14" ht="18" customHeight="1" x14ac:dyDescent="0.2">
      <c r="A71" s="192" t="s">
        <v>13</v>
      </c>
      <c r="B71" s="217">
        <f>B31/B$32</f>
        <v>1.4969860447439685</v>
      </c>
      <c r="C71" s="217">
        <f>C31/C$32</f>
        <v>1.5160242959251404</v>
      </c>
      <c r="D71" s="217">
        <f>D31/D$32</f>
        <v>1.1634270690521646</v>
      </c>
      <c r="E71" s="217">
        <f>E31/E$32</f>
        <v>1.1630580978510272</v>
      </c>
      <c r="F71" s="217">
        <f>F31/F$32</f>
        <v>0.84795533260751643</v>
      </c>
      <c r="G71" s="221">
        <f>G31/G$32</f>
        <v>0.64200728794742934</v>
      </c>
      <c r="I71" s="220">
        <f>I31/I$32</f>
        <v>1.3541064537833472</v>
      </c>
      <c r="J71" s="217">
        <f>J31/J$32</f>
        <v>1.4190217755271939</v>
      </c>
      <c r="K71" s="217">
        <f>K31/K$32</f>
        <v>1.2448895838517584</v>
      </c>
      <c r="L71" s="217">
        <f>L31/L$32</f>
        <v>1.1389663500229306</v>
      </c>
      <c r="M71" s="217">
        <f>M31/M$32</f>
        <v>0.86152391670571749</v>
      </c>
      <c r="N71" s="221">
        <f>N31/N$32</f>
        <v>0.57979688064487633</v>
      </c>
    </row>
    <row r="72" spans="1:14" ht="18" customHeight="1" x14ac:dyDescent="0.2">
      <c r="A72" s="192" t="s">
        <v>14</v>
      </c>
      <c r="B72" s="217">
        <f>B32/B$32</f>
        <v>1</v>
      </c>
      <c r="C72" s="217">
        <f>C32/C$32</f>
        <v>1</v>
      </c>
      <c r="D72" s="217">
        <f>D32/D$32</f>
        <v>1</v>
      </c>
      <c r="E72" s="217">
        <f>E32/E$32</f>
        <v>1</v>
      </c>
      <c r="F72" s="217">
        <f>F32/F$32</f>
        <v>1</v>
      </c>
      <c r="G72" s="221">
        <f>G32/G$32</f>
        <v>1</v>
      </c>
      <c r="I72" s="220">
        <f>I32/I$32</f>
        <v>1</v>
      </c>
      <c r="J72" s="217">
        <f>J32/J$32</f>
        <v>1</v>
      </c>
      <c r="K72" s="217">
        <f>K32/K$32</f>
        <v>1</v>
      </c>
      <c r="L72" s="217">
        <f>L32/L$32</f>
        <v>1</v>
      </c>
      <c r="M72" s="217">
        <f>M32/M$32</f>
        <v>1</v>
      </c>
      <c r="N72" s="221">
        <f>N32/N$32</f>
        <v>1</v>
      </c>
    </row>
    <row r="73" spans="1:14" ht="18" customHeight="1" thickBot="1" x14ac:dyDescent="0.25">
      <c r="A73" s="276" t="s">
        <v>15</v>
      </c>
      <c r="B73" s="289"/>
      <c r="C73" s="289"/>
      <c r="D73" s="289"/>
      <c r="E73" s="289"/>
      <c r="F73" s="289"/>
      <c r="G73" s="290"/>
      <c r="I73" s="291"/>
      <c r="J73" s="289"/>
      <c r="K73" s="289"/>
      <c r="L73" s="289"/>
      <c r="M73" s="289"/>
      <c r="N73" s="290"/>
    </row>
    <row r="75" spans="1:14" s="5" customFormat="1" ht="16.5" customHeight="1" x14ac:dyDescent="0.2">
      <c r="A75" s="5" t="s">
        <v>128</v>
      </c>
    </row>
    <row r="76" spans="1:14" ht="5.0999999999999996" customHeight="1" thickBot="1" x14ac:dyDescent="0.25"/>
    <row r="77" spans="1:14" ht="18" customHeight="1" x14ac:dyDescent="0.2">
      <c r="A77" s="497" t="s">
        <v>102</v>
      </c>
      <c r="B77" s="183" t="s">
        <v>129</v>
      </c>
      <c r="C77" s="183"/>
      <c r="D77" s="183"/>
      <c r="E77" s="183"/>
      <c r="F77" s="183"/>
      <c r="G77" s="184"/>
      <c r="I77" s="201" t="s">
        <v>130</v>
      </c>
      <c r="J77" s="183"/>
      <c r="K77" s="183"/>
      <c r="L77" s="183"/>
      <c r="M77" s="183"/>
      <c r="N77" s="184"/>
    </row>
    <row r="78" spans="1:14" ht="18" customHeight="1" x14ac:dyDescent="0.2">
      <c r="A78" s="498"/>
      <c r="B78" s="185" t="s">
        <v>16</v>
      </c>
      <c r="C78" s="185" t="s">
        <v>17</v>
      </c>
      <c r="D78" s="185" t="s">
        <v>18</v>
      </c>
      <c r="E78" s="185" t="s">
        <v>19</v>
      </c>
      <c r="F78" s="185" t="s">
        <v>20</v>
      </c>
      <c r="G78" s="186" t="s">
        <v>21</v>
      </c>
      <c r="I78" s="202" t="s">
        <v>16</v>
      </c>
      <c r="J78" s="185" t="s">
        <v>17</v>
      </c>
      <c r="K78" s="185" t="s">
        <v>18</v>
      </c>
      <c r="L78" s="185" t="s">
        <v>19</v>
      </c>
      <c r="M78" s="185" t="s">
        <v>20</v>
      </c>
      <c r="N78" s="186" t="s">
        <v>21</v>
      </c>
    </row>
    <row r="79" spans="1:14" ht="18" customHeight="1" x14ac:dyDescent="0.2">
      <c r="A79" s="246" t="s">
        <v>103</v>
      </c>
      <c r="B79" s="247">
        <f>SUMPRODUCT(B80:F80,'I. Datos de entrada'!C114:G114)/'I. Datos de entrada'!C114</f>
        <v>24.655083817923121</v>
      </c>
      <c r="C79" s="247">
        <f>G80</f>
        <v>0.91838825721207651</v>
      </c>
      <c r="D79" s="247"/>
      <c r="E79" s="247"/>
      <c r="F79" s="247"/>
      <c r="G79" s="248"/>
      <c r="I79" s="258">
        <f>I29</f>
        <v>1.2592872184742591E-2</v>
      </c>
      <c r="J79" s="256">
        <f>J29</f>
        <v>9.604819291533671E-3</v>
      </c>
      <c r="K79" s="256">
        <f>K29</f>
        <v>7.514439533462574E-3</v>
      </c>
      <c r="L79" s="255">
        <f>L29</f>
        <v>4.781447320837592E-3</v>
      </c>
      <c r="M79" s="255">
        <f>M29</f>
        <v>4.5422163094489565E-4</v>
      </c>
      <c r="N79" s="257">
        <f>N29</f>
        <v>7.6994481341650744E-5</v>
      </c>
    </row>
    <row r="80" spans="1:14" ht="18" customHeight="1" x14ac:dyDescent="0.2">
      <c r="A80" s="249" t="s">
        <v>104</v>
      </c>
      <c r="B80" s="250">
        <f>B29</f>
        <v>8.7246461310080221</v>
      </c>
      <c r="C80" s="250">
        <f>C29</f>
        <v>8.0656669017969236</v>
      </c>
      <c r="D80" s="250">
        <f>D29</f>
        <v>3.8709704106949685</v>
      </c>
      <c r="E80" s="250">
        <f>E29</f>
        <v>3.0754121172111284</v>
      </c>
      <c r="F80" s="250">
        <f>SUM(F13:G13)/SUM(F21:G21)</f>
        <v>0.91838825721207651</v>
      </c>
      <c r="G80" s="251">
        <f>F80</f>
        <v>0.91838825721207651</v>
      </c>
      <c r="I80" s="258">
        <f>I29</f>
        <v>1.2592872184742591E-2</v>
      </c>
      <c r="J80" s="256">
        <f>J29</f>
        <v>9.604819291533671E-3</v>
      </c>
      <c r="K80" s="256">
        <f>K29</f>
        <v>7.514439533462574E-3</v>
      </c>
      <c r="L80" s="256">
        <f>L29</f>
        <v>4.781447320837592E-3</v>
      </c>
      <c r="M80" s="256">
        <f>M29</f>
        <v>4.5422163094489565E-4</v>
      </c>
      <c r="N80" s="259">
        <f>N29</f>
        <v>7.6994481341650744E-5</v>
      </c>
    </row>
    <row r="81" spans="1:14" ht="18" customHeight="1" x14ac:dyDescent="0.2">
      <c r="A81" s="249" t="s">
        <v>105</v>
      </c>
      <c r="B81" s="250">
        <f>B30</f>
        <v>12.015491358451024</v>
      </c>
      <c r="C81" s="250">
        <f>C30</f>
        <v>11.336116488015337</v>
      </c>
      <c r="D81" s="250">
        <f>D30</f>
        <v>9.1290644265463818</v>
      </c>
      <c r="E81" s="250">
        <f>E30</f>
        <v>6.6003060804010136</v>
      </c>
      <c r="F81" s="250">
        <f>SUM(F14:G14)/SUM(F22:G22)</f>
        <v>0.26092268314872824</v>
      </c>
      <c r="G81" s="251">
        <f t="shared" ref="G81:G82" si="0">F81</f>
        <v>0.26092268314872824</v>
      </c>
      <c r="I81" s="258">
        <f>I30</f>
        <v>1.2564260131598276E-2</v>
      </c>
      <c r="J81" s="256">
        <f>J30</f>
        <v>9.6299910085614476E-3</v>
      </c>
      <c r="K81" s="256">
        <f>K30</f>
        <v>6.8192812748981502E-3</v>
      </c>
      <c r="L81" s="256">
        <f>L30</f>
        <v>4.4424782648797168E-3</v>
      </c>
      <c r="M81" s="256">
        <f>M30</f>
        <v>4.2880081574100086E-4</v>
      </c>
      <c r="N81" s="259">
        <f>N30</f>
        <v>7.402350139568641E-5</v>
      </c>
    </row>
    <row r="82" spans="1:14" ht="18" customHeight="1" x14ac:dyDescent="0.2">
      <c r="A82" s="249" t="s">
        <v>106</v>
      </c>
      <c r="B82" s="250">
        <f>B31</f>
        <v>6.2641377121519595</v>
      </c>
      <c r="C82" s="250">
        <f>C31</f>
        <v>6.1718539654727635</v>
      </c>
      <c r="D82" s="250">
        <f>D31</f>
        <v>4.3329746011315899</v>
      </c>
      <c r="E82" s="250">
        <f>E31</f>
        <v>2.7781105458912676</v>
      </c>
      <c r="F82" s="250">
        <f>SUM(F15:G15)/SUM(F23:G23)</f>
        <v>0.10014332887724668</v>
      </c>
      <c r="G82" s="251">
        <f t="shared" si="0"/>
        <v>0.10014332887724668</v>
      </c>
      <c r="I82" s="258">
        <f>I31</f>
        <v>5.1750279861893338E-3</v>
      </c>
      <c r="J82" s="256">
        <f>J31</f>
        <v>3.9644532619355823E-3</v>
      </c>
      <c r="K82" s="256">
        <f>K31</f>
        <v>3.1546352594025748E-3</v>
      </c>
      <c r="L82" s="256">
        <f>L31</f>
        <v>1.7740525120465624E-3</v>
      </c>
      <c r="M82" s="256">
        <f>M31</f>
        <v>1.0688029229661843E-4</v>
      </c>
      <c r="N82" s="259">
        <f>N31</f>
        <v>2.2994348262651113E-5</v>
      </c>
    </row>
    <row r="83" spans="1:14" ht="18" customHeight="1" x14ac:dyDescent="0.2">
      <c r="A83" s="249" t="s">
        <v>107</v>
      </c>
      <c r="B83" s="250">
        <f>B32</f>
        <v>4.184499738087621</v>
      </c>
      <c r="C83" s="250">
        <f>C32</f>
        <v>4.0710785322252665</v>
      </c>
      <c r="D83" s="250">
        <f>D32</f>
        <v>3.7243199134618998</v>
      </c>
      <c r="E83" s="250">
        <f>E32</f>
        <v>2.3886257711668568</v>
      </c>
      <c r="F83" s="250">
        <f>SUM(F16:G16)/SUM(F24:G24)</f>
        <v>0.14200416127039522</v>
      </c>
      <c r="G83" s="251">
        <f t="shared" ref="G83" si="1">F83</f>
        <v>0.14200416127039522</v>
      </c>
      <c r="I83" s="258">
        <f>I32</f>
        <v>3.8217290610575013E-3</v>
      </c>
      <c r="J83" s="256">
        <f>J32</f>
        <v>2.7937931117813265E-3</v>
      </c>
      <c r="K83" s="256">
        <f>K32</f>
        <v>2.5340683224627488E-3</v>
      </c>
      <c r="L83" s="256">
        <f>L32</f>
        <v>1.5575987051863699E-3</v>
      </c>
      <c r="M83" s="256">
        <f>M32</f>
        <v>1.2405957655279697E-4</v>
      </c>
      <c r="N83" s="259">
        <f>N32</f>
        <v>3.9659316961270572E-5</v>
      </c>
    </row>
    <row r="84" spans="1:14" ht="18" customHeight="1" thickBot="1" x14ac:dyDescent="0.25">
      <c r="A84" s="283" t="s">
        <v>108</v>
      </c>
      <c r="B84" s="284"/>
      <c r="C84" s="284"/>
      <c r="D84" s="284"/>
      <c r="E84" s="284"/>
      <c r="F84" s="284"/>
      <c r="G84" s="285"/>
      <c r="I84" s="286"/>
      <c r="J84" s="287"/>
      <c r="K84" s="287"/>
      <c r="L84" s="287"/>
      <c r="M84" s="287"/>
      <c r="N84" s="288"/>
    </row>
    <row r="86" spans="1:14" s="5" customFormat="1" ht="16.5" customHeight="1" x14ac:dyDescent="0.2">
      <c r="A86" s="5" t="s">
        <v>135</v>
      </c>
    </row>
    <row r="87" spans="1:14" ht="5.0999999999999996" customHeight="1" thickBot="1" x14ac:dyDescent="0.25"/>
    <row r="88" spans="1:14" ht="22.5" customHeight="1" x14ac:dyDescent="0.2">
      <c r="A88" s="505" t="s">
        <v>102</v>
      </c>
      <c r="B88" s="183" t="s">
        <v>132</v>
      </c>
      <c r="C88" s="183"/>
      <c r="D88" s="183"/>
      <c r="E88" s="499" t="s">
        <v>131</v>
      </c>
    </row>
    <row r="89" spans="1:14" ht="25.5" x14ac:dyDescent="0.2">
      <c r="A89" s="506"/>
      <c r="B89" s="264" t="s">
        <v>100</v>
      </c>
      <c r="C89" s="264" t="s">
        <v>101</v>
      </c>
      <c r="D89" s="264" t="s">
        <v>4</v>
      </c>
      <c r="E89" s="500"/>
    </row>
    <row r="90" spans="1:14" ht="18" customHeight="1" x14ac:dyDescent="0.2">
      <c r="A90" s="246" t="s">
        <v>103</v>
      </c>
      <c r="B90" s="265">
        <f>'I. Datos de entrada'!C114*B79+'I. Datos de entrada'!H114*C79</f>
        <v>3129201.5561160138</v>
      </c>
      <c r="C90" s="267">
        <f>SUMPRODUCT(I79:N79,'I. Datos de entrada'!C101:H101)*1000</f>
        <v>317515.36788169615</v>
      </c>
      <c r="D90" s="268">
        <f>SUM(B90:C90)</f>
        <v>3446716.92399771</v>
      </c>
      <c r="E90" s="270">
        <f t="shared" ref="E90:E94" si="2">B90/D90</f>
        <v>0.90787889609645611</v>
      </c>
    </row>
    <row r="91" spans="1:14" ht="18" customHeight="1" x14ac:dyDescent="0.2">
      <c r="A91" s="249" t="s">
        <v>104</v>
      </c>
      <c r="B91" s="267">
        <f>SUMPRODUCT(B80:G80,'I. Datos de entrada'!C115:H115)</f>
        <v>528113.7286231498</v>
      </c>
      <c r="C91" s="267">
        <f>SUMPRODUCT(I80:N80,'I. Datos de entrada'!C102:H102)*1000</f>
        <v>172035.6461293374</v>
      </c>
      <c r="D91" s="268">
        <f t="shared" ref="D91:D94" si="3">SUM(B91:C91)</f>
        <v>700149.37475248717</v>
      </c>
      <c r="E91" s="270">
        <f t="shared" si="2"/>
        <v>0.75428722450812091</v>
      </c>
      <c r="F91" s="314"/>
      <c r="G91" s="263"/>
    </row>
    <row r="92" spans="1:14" ht="18" customHeight="1" x14ac:dyDescent="0.2">
      <c r="A92" s="249" t="s">
        <v>105</v>
      </c>
      <c r="B92" s="267">
        <f>SUMPRODUCT(B81:G81,'I. Datos de entrada'!C116:H116)</f>
        <v>719560.85908559978</v>
      </c>
      <c r="C92" s="267">
        <f>SUMPRODUCT(I81:N81,'I. Datos de entrada'!C103:H103)*1000</f>
        <v>281853.74292301602</v>
      </c>
      <c r="D92" s="268">
        <f t="shared" si="3"/>
        <v>1001414.6020086159</v>
      </c>
      <c r="E92" s="270">
        <f t="shared" si="2"/>
        <v>0.71854440472739267</v>
      </c>
      <c r="F92" s="263"/>
      <c r="G92" s="263"/>
      <c r="I92" s="263"/>
    </row>
    <row r="93" spans="1:14" ht="18" customHeight="1" x14ac:dyDescent="0.2">
      <c r="A93" s="249" t="s">
        <v>106</v>
      </c>
      <c r="B93" s="267">
        <f>SUMPRODUCT(B82:G82,'I. Datos de entrada'!C117:H117)</f>
        <v>93497.388767481825</v>
      </c>
      <c r="C93" s="267">
        <f>SUMPRODUCT(I82:N82,'I. Datos de entrada'!C104:H104)*1000</f>
        <v>37511.737488399849</v>
      </c>
      <c r="D93" s="268">
        <f t="shared" si="3"/>
        <v>131009.12625588168</v>
      </c>
      <c r="E93" s="270">
        <f t="shared" si="2"/>
        <v>0.71367080629838364</v>
      </c>
      <c r="F93" s="263"/>
      <c r="G93" s="263"/>
      <c r="I93" s="263"/>
    </row>
    <row r="94" spans="1:14" ht="18" customHeight="1" x14ac:dyDescent="0.2">
      <c r="A94" s="249" t="s">
        <v>107</v>
      </c>
      <c r="B94" s="267">
        <f>SUMPRODUCT(B83:G83,'I. Datos de entrada'!C118:H118)</f>
        <v>28121.157462886869</v>
      </c>
      <c r="C94" s="267">
        <f>SUMPRODUCT(I83:N83,'I. Datos de entrada'!C105:H105)*1000</f>
        <v>11215.78413808661</v>
      </c>
      <c r="D94" s="268">
        <f t="shared" si="3"/>
        <v>39336.941600973478</v>
      </c>
      <c r="E94" s="270">
        <f t="shared" si="2"/>
        <v>0.71487910138369659</v>
      </c>
      <c r="F94" s="263"/>
      <c r="G94" s="263"/>
      <c r="I94" s="263"/>
    </row>
    <row r="95" spans="1:14" ht="18" customHeight="1" thickBot="1" x14ac:dyDescent="0.25">
      <c r="A95" s="252" t="s">
        <v>108</v>
      </c>
      <c r="B95" s="292"/>
      <c r="C95" s="292"/>
      <c r="D95" s="293"/>
      <c r="E95" s="294"/>
      <c r="F95" s="263"/>
      <c r="G95" s="263"/>
    </row>
    <row r="96" spans="1:14" ht="7.5" customHeight="1" thickBot="1" x14ac:dyDescent="0.25"/>
    <row r="97" spans="1:5" ht="16.5" customHeight="1" thickBot="1" x14ac:dyDescent="0.25">
      <c r="A97" s="432" t="s">
        <v>1</v>
      </c>
      <c r="B97" s="426">
        <f>SUM(B90:B95)</f>
        <v>4498494.6900551319</v>
      </c>
      <c r="C97" s="426">
        <f>SUM(C90:C95)</f>
        <v>820132.27856053598</v>
      </c>
      <c r="D97" s="427">
        <f>SUM(B97:C97)</f>
        <v>5318626.9686156679</v>
      </c>
      <c r="E97" s="433">
        <f>B97/D97</f>
        <v>0.8458</v>
      </c>
    </row>
    <row r="98" spans="1:5" x14ac:dyDescent="0.2">
      <c r="B98" s="263">
        <f>B97-SUM(B13:G17)</f>
        <v>0</v>
      </c>
      <c r="C98" s="263">
        <f>C97-SUM(I13:N17)</f>
        <v>0</v>
      </c>
      <c r="D98" s="263">
        <f>D97-'I. Datos de entrada'!C30</f>
        <v>0</v>
      </c>
    </row>
  </sheetData>
  <mergeCells count="8">
    <mergeCell ref="A88:A89"/>
    <mergeCell ref="E88:E89"/>
    <mergeCell ref="A11:A12"/>
    <mergeCell ref="A19:A20"/>
    <mergeCell ref="A27:A28"/>
    <mergeCell ref="A37:A38"/>
    <mergeCell ref="A67:A68"/>
    <mergeCell ref="A77:A7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193-A5D5-4D0E-B0CA-8022B87F8669}">
  <dimension ref="A1:R80"/>
  <sheetViews>
    <sheetView showGridLines="0" workbookViewId="0"/>
  </sheetViews>
  <sheetFormatPr baseColWidth="10" defaultRowHeight="12.75" x14ac:dyDescent="0.2"/>
  <cols>
    <col min="1" max="1" width="13.28515625" style="340" customWidth="1"/>
    <col min="2" max="2" width="16.42578125" style="340" bestFit="1" customWidth="1"/>
    <col min="3" max="3" width="14.7109375" style="340" bestFit="1" customWidth="1"/>
    <col min="4" max="4" width="16.42578125" style="340" bestFit="1" customWidth="1"/>
    <col min="5" max="5" width="13.7109375" style="340" bestFit="1" customWidth="1"/>
    <col min="6" max="6" width="12.7109375" style="340" bestFit="1" customWidth="1"/>
    <col min="7" max="7" width="13" style="340" bestFit="1" customWidth="1"/>
    <col min="8" max="8" width="2.42578125" style="340" customWidth="1"/>
    <col min="9" max="9" width="13.5703125" style="340" customWidth="1"/>
    <col min="10" max="10" width="16.5703125" style="340" customWidth="1"/>
    <col min="11" max="16384" width="11.42578125" style="340"/>
  </cols>
  <sheetData>
    <row r="1" spans="1:15" s="1" customFormat="1" x14ac:dyDescent="0.2"/>
    <row r="2" spans="1:15" s="1" customFormat="1" x14ac:dyDescent="0.2"/>
    <row r="3" spans="1:15" s="1" customFormat="1" x14ac:dyDescent="0.2"/>
    <row r="4" spans="1:15" s="1" customFormat="1" x14ac:dyDescent="0.2"/>
    <row r="5" spans="1:15" s="1" customFormat="1" x14ac:dyDescent="0.2"/>
    <row r="6" spans="1:15" s="413" customFormat="1" ht="29.25" customHeight="1" x14ac:dyDescent="0.2">
      <c r="A6" s="413" t="s">
        <v>217</v>
      </c>
    </row>
    <row r="7" spans="1:15" s="5" customFormat="1" ht="16.5" customHeight="1" x14ac:dyDescent="0.2">
      <c r="A7" s="5" t="s">
        <v>218</v>
      </c>
    </row>
    <row r="8" spans="1:15" ht="5.0999999999999996" customHeight="1" thickBot="1" x14ac:dyDescent="0.25"/>
    <row r="9" spans="1:15" s="343" customFormat="1" ht="24.95" customHeight="1" x14ac:dyDescent="0.2">
      <c r="A9" s="501" t="s">
        <v>152</v>
      </c>
      <c r="B9" s="341" t="s">
        <v>153</v>
      </c>
      <c r="C9" s="341"/>
      <c r="D9" s="341"/>
      <c r="E9" s="341"/>
      <c r="F9" s="341"/>
      <c r="G9" s="342"/>
    </row>
    <row r="10" spans="1:15" s="343" customFormat="1" ht="24.95" customHeight="1" x14ac:dyDescent="0.2">
      <c r="A10" s="502"/>
      <c r="B10" s="344" t="s">
        <v>16</v>
      </c>
      <c r="C10" s="344" t="s">
        <v>17</v>
      </c>
      <c r="D10" s="344" t="s">
        <v>18</v>
      </c>
      <c r="E10" s="344" t="s">
        <v>19</v>
      </c>
      <c r="F10" s="344" t="s">
        <v>20</v>
      </c>
      <c r="G10" s="345" t="s">
        <v>21</v>
      </c>
    </row>
    <row r="11" spans="1:15" ht="30" customHeight="1" thickBot="1" x14ac:dyDescent="0.25">
      <c r="A11" s="346" t="s">
        <v>103</v>
      </c>
      <c r="B11" s="347">
        <f>'I. Datos de entrada'!C101*1000</f>
        <v>8473788.2774330433</v>
      </c>
      <c r="C11" s="347">
        <f>'I. Datos de entrada'!D101*1000</f>
        <v>10405943.623362103</v>
      </c>
      <c r="D11" s="347">
        <f>'I. Datos de entrada'!E101*1000</f>
        <v>8196842.2015418187</v>
      </c>
      <c r="E11" s="347">
        <f>'I. Datos de entrada'!F101*1000</f>
        <v>9362614.1061907858</v>
      </c>
      <c r="F11" s="347">
        <f>'I. Datos de entrada'!G101*1000</f>
        <v>3904133.7762604626</v>
      </c>
      <c r="G11" s="348">
        <f>'I. Datos de entrada'!H101*1000</f>
        <v>35378690.024054922</v>
      </c>
      <c r="H11" s="349"/>
      <c r="I11" s="350"/>
      <c r="J11" s="349"/>
      <c r="K11" s="349"/>
      <c r="L11" s="349"/>
      <c r="M11" s="349"/>
      <c r="N11" s="349"/>
      <c r="O11" s="343"/>
    </row>
    <row r="12" spans="1:15" ht="13.5" thickBot="1" x14ac:dyDescent="0.25"/>
    <row r="13" spans="1:15" s="343" customFormat="1" ht="24.95" customHeight="1" x14ac:dyDescent="0.2">
      <c r="A13" s="501" t="s">
        <v>58</v>
      </c>
      <c r="B13" s="341" t="s">
        <v>160</v>
      </c>
      <c r="C13" s="341"/>
      <c r="D13" s="341"/>
      <c r="E13" s="341"/>
      <c r="F13" s="341"/>
      <c r="G13" s="342"/>
    </row>
    <row r="14" spans="1:15" s="343" customFormat="1" ht="24.95" customHeight="1" x14ac:dyDescent="0.2">
      <c r="A14" s="502"/>
      <c r="B14" s="344" t="s">
        <v>16</v>
      </c>
      <c r="C14" s="344" t="s">
        <v>17</v>
      </c>
      <c r="D14" s="344" t="s">
        <v>18</v>
      </c>
      <c r="E14" s="344" t="s">
        <v>19</v>
      </c>
      <c r="F14" s="344" t="s">
        <v>20</v>
      </c>
      <c r="G14" s="345" t="s">
        <v>21</v>
      </c>
    </row>
    <row r="15" spans="1:15" s="343" customFormat="1" ht="24.95" customHeight="1" x14ac:dyDescent="0.2">
      <c r="A15" s="364" t="s">
        <v>2</v>
      </c>
      <c r="B15" s="365">
        <f>'Va. Peajes transporte'!I29</f>
        <v>4.5261035692529591E-3</v>
      </c>
      <c r="C15" s="365">
        <f>'Va. Peajes transporte'!J29</f>
        <v>3.5409789929301246E-3</v>
      </c>
      <c r="D15" s="365">
        <f>'Va. Peajes transporte'!K29</f>
        <v>2.9267724039110541E-3</v>
      </c>
      <c r="E15" s="365">
        <f>'Va. Peajes transporte'!L29</f>
        <v>1.5941794011283318E-3</v>
      </c>
      <c r="F15" s="365">
        <f>'Va. Peajes transporte'!M29</f>
        <v>5.6079090143786325E-5</v>
      </c>
      <c r="G15" s="366">
        <f>'Va. Peajes transporte'!N29</f>
        <v>3.663622412291583E-5</v>
      </c>
    </row>
    <row r="16" spans="1:15" ht="30" customHeight="1" thickBot="1" x14ac:dyDescent="0.25">
      <c r="A16" s="346" t="s">
        <v>158</v>
      </c>
      <c r="B16" s="367">
        <f>'Vb. Peajes distribución'!I29</f>
        <v>1.2592872184742591E-2</v>
      </c>
      <c r="C16" s="367">
        <f>'Vb. Peajes distribución'!J29</f>
        <v>9.604819291533671E-3</v>
      </c>
      <c r="D16" s="367">
        <f>'Vb. Peajes distribución'!K29</f>
        <v>7.514439533462574E-3</v>
      </c>
      <c r="E16" s="367">
        <f>'Vb. Peajes distribución'!L29</f>
        <v>4.781447320837592E-3</v>
      </c>
      <c r="F16" s="367">
        <f>'Vb. Peajes distribución'!M29</f>
        <v>4.5422163094489565E-4</v>
      </c>
      <c r="G16" s="368">
        <f>'Vb. Peajes distribución'!N29</f>
        <v>7.6994481341650744E-5</v>
      </c>
      <c r="H16" s="349"/>
      <c r="I16" s="350"/>
      <c r="J16" s="349"/>
      <c r="K16" s="349"/>
      <c r="L16" s="349"/>
      <c r="M16" s="349"/>
      <c r="N16" s="349"/>
      <c r="O16" s="343"/>
    </row>
    <row r="17" spans="1:15" ht="13.5" thickBot="1" x14ac:dyDescent="0.25"/>
    <row r="18" spans="1:15" s="343" customFormat="1" ht="24.95" customHeight="1" x14ac:dyDescent="0.2">
      <c r="A18" s="501" t="s">
        <v>152</v>
      </c>
      <c r="B18" s="341" t="s">
        <v>154</v>
      </c>
      <c r="C18" s="341"/>
      <c r="D18" s="341"/>
      <c r="E18" s="341"/>
      <c r="F18" s="341"/>
      <c r="G18" s="342"/>
      <c r="I18" s="503" t="s">
        <v>162</v>
      </c>
    </row>
    <row r="19" spans="1:15" s="343" customFormat="1" ht="24.95" customHeight="1" x14ac:dyDescent="0.2">
      <c r="A19" s="502"/>
      <c r="B19" s="344" t="s">
        <v>16</v>
      </c>
      <c r="C19" s="344" t="s">
        <v>17</v>
      </c>
      <c r="D19" s="344" t="s">
        <v>18</v>
      </c>
      <c r="E19" s="344" t="s">
        <v>19</v>
      </c>
      <c r="F19" s="344" t="s">
        <v>20</v>
      </c>
      <c r="G19" s="345" t="s">
        <v>21</v>
      </c>
      <c r="I19" s="504"/>
    </row>
    <row r="20" spans="1:15" s="343" customFormat="1" ht="24.95" customHeight="1" x14ac:dyDescent="0.2">
      <c r="A20" s="364" t="s">
        <v>2</v>
      </c>
      <c r="B20" s="373">
        <f>B11*B15</f>
        <v>38353.243367583578</v>
      </c>
      <c r="C20" s="373">
        <f t="shared" ref="C20:G20" si="0">C11*C15</f>
        <v>36847.227771940394</v>
      </c>
      <c r="D20" s="373">
        <f t="shared" si="0"/>
        <v>23990.291554686126</v>
      </c>
      <c r="E20" s="373">
        <f t="shared" si="0"/>
        <v>14925.686548802898</v>
      </c>
      <c r="F20" s="373">
        <f t="shared" si="0"/>
        <v>218.9402699723114</v>
      </c>
      <c r="G20" s="374">
        <f t="shared" si="0"/>
        <v>1296.1416168964427</v>
      </c>
      <c r="I20" s="404">
        <f>SUM(B20:H20)</f>
        <v>115631.53112988177</v>
      </c>
    </row>
    <row r="21" spans="1:15" ht="30" customHeight="1" thickBot="1" x14ac:dyDescent="0.25">
      <c r="A21" s="346" t="s">
        <v>158</v>
      </c>
      <c r="B21" s="369">
        <f>B11*B$16</f>
        <v>106709.3326982844</v>
      </c>
      <c r="C21" s="369">
        <f t="shared" ref="C21:G21" si="1">C11*C$16</f>
        <v>99947.208060280114</v>
      </c>
      <c r="D21" s="369">
        <f t="shared" si="1"/>
        <v>61594.675088820244</v>
      </c>
      <c r="E21" s="369">
        <f t="shared" si="1"/>
        <v>44766.846134082181</v>
      </c>
      <c r="F21" s="369">
        <f t="shared" si="1"/>
        <v>1773.3420112800816</v>
      </c>
      <c r="G21" s="370">
        <f t="shared" si="1"/>
        <v>2723.9638889491421</v>
      </c>
      <c r="H21" s="349"/>
      <c r="I21" s="405">
        <f>SUM(B21:H21)</f>
        <v>317515.36788169615</v>
      </c>
      <c r="J21" s="350"/>
      <c r="K21" s="349"/>
      <c r="L21" s="349"/>
      <c r="M21" s="349"/>
      <c r="N21" s="349"/>
      <c r="O21" s="343"/>
    </row>
    <row r="22" spans="1:15" ht="13.5" thickBot="1" x14ac:dyDescent="0.25"/>
    <row r="23" spans="1:15" ht="24.95" customHeight="1" x14ac:dyDescent="0.2">
      <c r="A23" s="501" t="s">
        <v>150</v>
      </c>
      <c r="B23" s="341" t="s">
        <v>161</v>
      </c>
      <c r="C23" s="341"/>
      <c r="D23" s="341"/>
      <c r="E23" s="341"/>
      <c r="F23" s="341"/>
      <c r="G23" s="342"/>
    </row>
    <row r="24" spans="1:15" ht="24.95" customHeight="1" x14ac:dyDescent="0.2">
      <c r="A24" s="502"/>
      <c r="B24" s="344" t="s">
        <v>16</v>
      </c>
      <c r="C24" s="344" t="s">
        <v>17</v>
      </c>
      <c r="D24" s="344" t="s">
        <v>18</v>
      </c>
      <c r="E24" s="344" t="s">
        <v>19</v>
      </c>
      <c r="F24" s="344" t="s">
        <v>20</v>
      </c>
      <c r="G24" s="345" t="s">
        <v>21</v>
      </c>
    </row>
    <row r="25" spans="1:15" s="343" customFormat="1" ht="24.95" customHeight="1" x14ac:dyDescent="0.2">
      <c r="A25" s="371" t="s">
        <v>16</v>
      </c>
      <c r="B25" s="352">
        <f>'I. Datos de entrada'!C128</f>
        <v>0.90458214326002728</v>
      </c>
      <c r="C25" s="352">
        <f>'I. Datos de entrada'!D128</f>
        <v>0.35995638667326307</v>
      </c>
      <c r="D25" s="352">
        <f>'I. Datos de entrada'!E128</f>
        <v>0.57514902426058678</v>
      </c>
      <c r="E25" s="352">
        <f>'I. Datos de entrada'!F128</f>
        <v>0.5090013345166533</v>
      </c>
      <c r="F25" s="352">
        <f>'I. Datos de entrada'!G128</f>
        <v>0</v>
      </c>
      <c r="G25" s="353">
        <f>'I. Datos de entrada'!H128</f>
        <v>0</v>
      </c>
    </row>
    <row r="26" spans="1:15" s="343" customFormat="1" ht="24.95" customHeight="1" x14ac:dyDescent="0.2">
      <c r="A26" s="371" t="s">
        <v>17</v>
      </c>
      <c r="B26" s="354">
        <f>'I. Datos de entrada'!C129</f>
        <v>9.5417856739972773E-2</v>
      </c>
      <c r="C26" s="354">
        <f>'I. Datos de entrada'!D129</f>
        <v>0.64004361332673698</v>
      </c>
      <c r="D26" s="354">
        <f>'I. Datos de entrada'!E129</f>
        <v>0.42485097573941316</v>
      </c>
      <c r="E26" s="354">
        <f>'I. Datos de entrada'!F129</f>
        <v>0.4909986654833467</v>
      </c>
      <c r="F26" s="354">
        <f>'I. Datos de entrada'!G129</f>
        <v>1</v>
      </c>
      <c r="G26" s="353">
        <f>'I. Datos de entrada'!H129</f>
        <v>0</v>
      </c>
    </row>
    <row r="27" spans="1:15" s="343" customFormat="1" ht="24.95" customHeight="1" x14ac:dyDescent="0.2">
      <c r="A27" s="371" t="s">
        <v>18</v>
      </c>
      <c r="B27" s="354">
        <f>'I. Datos de entrada'!C130</f>
        <v>0</v>
      </c>
      <c r="C27" s="354">
        <f>'I. Datos de entrada'!D130</f>
        <v>0</v>
      </c>
      <c r="D27" s="354">
        <f>'I. Datos de entrada'!E130</f>
        <v>0</v>
      </c>
      <c r="E27" s="354">
        <f>'I. Datos de entrada'!F130</f>
        <v>0</v>
      </c>
      <c r="F27" s="354">
        <f>'I. Datos de entrada'!G130</f>
        <v>0</v>
      </c>
      <c r="G27" s="353">
        <f>'I. Datos de entrada'!H130</f>
        <v>1</v>
      </c>
    </row>
    <row r="28" spans="1:15" s="343" customFormat="1" ht="24.95" customHeight="1" thickBot="1" x14ac:dyDescent="0.25">
      <c r="A28" s="417" t="s">
        <v>4</v>
      </c>
      <c r="B28" s="423">
        <f>SUM(B25:B27)</f>
        <v>1</v>
      </c>
      <c r="C28" s="423">
        <f t="shared" ref="C28:G28" si="2">SUM(C25:C27)</f>
        <v>1</v>
      </c>
      <c r="D28" s="423">
        <f t="shared" si="2"/>
        <v>1</v>
      </c>
      <c r="E28" s="423">
        <f t="shared" si="2"/>
        <v>1</v>
      </c>
      <c r="F28" s="423">
        <f t="shared" si="2"/>
        <v>1</v>
      </c>
      <c r="G28" s="424">
        <f t="shared" si="2"/>
        <v>1</v>
      </c>
    </row>
    <row r="29" spans="1:15" s="343" customFormat="1" ht="24.95" customHeight="1" x14ac:dyDescent="0.2">
      <c r="A29" s="375"/>
      <c r="B29" s="376"/>
      <c r="C29" s="376"/>
      <c r="D29" s="376"/>
      <c r="E29" s="376"/>
      <c r="F29" s="376"/>
      <c r="G29" s="376"/>
    </row>
    <row r="30" spans="1:15" ht="13.5" thickBot="1" x14ac:dyDescent="0.25">
      <c r="B30" s="356"/>
    </row>
    <row r="31" spans="1:15" ht="24.95" customHeight="1" x14ac:dyDescent="0.2">
      <c r="A31" s="501" t="s">
        <v>150</v>
      </c>
      <c r="B31" s="341" t="s">
        <v>151</v>
      </c>
      <c r="C31" s="341"/>
      <c r="D31" s="341"/>
      <c r="E31" s="341"/>
      <c r="F31" s="341"/>
      <c r="G31" s="342"/>
      <c r="I31" s="503" t="s">
        <v>155</v>
      </c>
    </row>
    <row r="32" spans="1:15" ht="24.95" customHeight="1" x14ac:dyDescent="0.2">
      <c r="A32" s="502"/>
      <c r="B32" s="344" t="s">
        <v>16</v>
      </c>
      <c r="C32" s="344" t="s">
        <v>17</v>
      </c>
      <c r="D32" s="344" t="s">
        <v>18</v>
      </c>
      <c r="E32" s="344" t="s">
        <v>19</v>
      </c>
      <c r="F32" s="344" t="s">
        <v>20</v>
      </c>
      <c r="G32" s="345" t="s">
        <v>21</v>
      </c>
      <c r="I32" s="504"/>
    </row>
    <row r="33" spans="1:9" s="343" customFormat="1" ht="24.95" customHeight="1" x14ac:dyDescent="0.2">
      <c r="A33" s="382" t="s">
        <v>2</v>
      </c>
      <c r="B33" s="357"/>
      <c r="C33" s="357"/>
      <c r="D33" s="357"/>
      <c r="E33" s="357"/>
      <c r="F33" s="357"/>
      <c r="G33" s="358"/>
      <c r="I33" s="377">
        <f>SUM(I34:I36)</f>
        <v>115631.53112988177</v>
      </c>
    </row>
    <row r="34" spans="1:9" s="343" customFormat="1" ht="24.95" customHeight="1" x14ac:dyDescent="0.2">
      <c r="A34" s="371" t="s">
        <v>16</v>
      </c>
      <c r="B34" s="360">
        <f>B$20*B25</f>
        <v>34693.65908642218</v>
      </c>
      <c r="C34" s="360">
        <f t="shared" ref="C34:G34" si="3">C$20*C25</f>
        <v>13263.394967714374</v>
      </c>
      <c r="D34" s="360">
        <f t="shared" si="3"/>
        <v>13797.992779404722</v>
      </c>
      <c r="E34" s="360">
        <f t="shared" si="3"/>
        <v>7597.1943719179362</v>
      </c>
      <c r="F34" s="360">
        <f t="shared" si="3"/>
        <v>0</v>
      </c>
      <c r="G34" s="378">
        <f t="shared" si="3"/>
        <v>0</v>
      </c>
      <c r="I34" s="359">
        <f>SUM(B34:H34)</f>
        <v>69352.241205459213</v>
      </c>
    </row>
    <row r="35" spans="1:9" s="343" customFormat="1" ht="24.95" customHeight="1" x14ac:dyDescent="0.2">
      <c r="A35" s="371" t="s">
        <v>17</v>
      </c>
      <c r="B35" s="360">
        <f t="shared" ref="B35:G36" si="4">B$20*B26</f>
        <v>3659.5842811614007</v>
      </c>
      <c r="C35" s="360">
        <f t="shared" si="4"/>
        <v>23583.832804226022</v>
      </c>
      <c r="D35" s="360">
        <f t="shared" si="4"/>
        <v>10192.298775281404</v>
      </c>
      <c r="E35" s="360">
        <f t="shared" si="4"/>
        <v>7328.4921768849617</v>
      </c>
      <c r="F35" s="360">
        <f t="shared" si="4"/>
        <v>218.9402699723114</v>
      </c>
      <c r="G35" s="378">
        <f t="shared" si="4"/>
        <v>0</v>
      </c>
      <c r="I35" s="359">
        <f t="shared" ref="I35:I36" si="5">SUM(B35:H35)</f>
        <v>44983.148307526106</v>
      </c>
    </row>
    <row r="36" spans="1:9" s="343" customFormat="1" ht="24.95" customHeight="1" x14ac:dyDescent="0.2">
      <c r="A36" s="371" t="s">
        <v>18</v>
      </c>
      <c r="B36" s="360">
        <f t="shared" si="4"/>
        <v>0</v>
      </c>
      <c r="C36" s="360">
        <f t="shared" si="4"/>
        <v>0</v>
      </c>
      <c r="D36" s="360">
        <f t="shared" si="4"/>
        <v>0</v>
      </c>
      <c r="E36" s="360">
        <f t="shared" si="4"/>
        <v>0</v>
      </c>
      <c r="F36" s="360">
        <f t="shared" si="4"/>
        <v>0</v>
      </c>
      <c r="G36" s="378">
        <f t="shared" si="4"/>
        <v>1296.1416168964427</v>
      </c>
      <c r="I36" s="359">
        <f t="shared" si="5"/>
        <v>1296.1416168964427</v>
      </c>
    </row>
    <row r="37" spans="1:9" s="343" customFormat="1" ht="24.95" customHeight="1" x14ac:dyDescent="0.2">
      <c r="A37" s="382" t="s">
        <v>159</v>
      </c>
      <c r="B37" s="360"/>
      <c r="C37" s="360"/>
      <c r="D37" s="360"/>
      <c r="E37" s="360"/>
      <c r="F37" s="360"/>
      <c r="G37" s="358"/>
      <c r="I37" s="377">
        <f>SUM(I38:I40)</f>
        <v>317515.36788169621</v>
      </c>
    </row>
    <row r="38" spans="1:9" s="343" customFormat="1" ht="24.95" customHeight="1" x14ac:dyDescent="0.2">
      <c r="A38" s="371" t="s">
        <v>16</v>
      </c>
      <c r="B38" s="360">
        <f>B$21*B25</f>
        <v>96527.356878061415</v>
      </c>
      <c r="C38" s="360">
        <f t="shared" ref="C38:G38" si="6">C$21*C25</f>
        <v>35976.635871459264</v>
      </c>
      <c r="D38" s="360">
        <f t="shared" si="6"/>
        <v>35426.117276982834</v>
      </c>
      <c r="E38" s="360">
        <f t="shared" si="6"/>
        <v>22786.384424349511</v>
      </c>
      <c r="F38" s="360">
        <f t="shared" si="6"/>
        <v>0</v>
      </c>
      <c r="G38" s="358">
        <f t="shared" si="6"/>
        <v>0</v>
      </c>
      <c r="I38" s="359">
        <f>SUM(B38:H38)</f>
        <v>190716.49445085303</v>
      </c>
    </row>
    <row r="39" spans="1:9" s="343" customFormat="1" ht="24.95" customHeight="1" x14ac:dyDescent="0.2">
      <c r="A39" s="371" t="s">
        <v>17</v>
      </c>
      <c r="B39" s="360">
        <f>B$21*B26</f>
        <v>10181.975820222993</v>
      </c>
      <c r="C39" s="360">
        <f t="shared" ref="C39:G40" si="7">C$21*C26</f>
        <v>63970.572188820857</v>
      </c>
      <c r="D39" s="360">
        <f t="shared" si="7"/>
        <v>26168.557811837407</v>
      </c>
      <c r="E39" s="360">
        <f t="shared" si="7"/>
        <v>21980.46170973267</v>
      </c>
      <c r="F39" s="360">
        <f t="shared" si="7"/>
        <v>1773.3420112800816</v>
      </c>
      <c r="G39" s="358">
        <f t="shared" si="7"/>
        <v>0</v>
      </c>
      <c r="I39" s="359">
        <f t="shared" ref="I39:I40" si="8">SUM(B39:H39)</f>
        <v>124074.90954189401</v>
      </c>
    </row>
    <row r="40" spans="1:9" s="343" customFormat="1" ht="24.95" customHeight="1" thickBot="1" x14ac:dyDescent="0.25">
      <c r="A40" s="372" t="s">
        <v>18</v>
      </c>
      <c r="B40" s="361">
        <f>B$21*B27</f>
        <v>0</v>
      </c>
      <c r="C40" s="361">
        <f t="shared" si="7"/>
        <v>0</v>
      </c>
      <c r="D40" s="361">
        <f t="shared" si="7"/>
        <v>0</v>
      </c>
      <c r="E40" s="361">
        <f t="shared" si="7"/>
        <v>0</v>
      </c>
      <c r="F40" s="361">
        <f t="shared" si="7"/>
        <v>0</v>
      </c>
      <c r="G40" s="362">
        <f t="shared" si="7"/>
        <v>2723.9638889491421</v>
      </c>
      <c r="I40" s="363">
        <f t="shared" si="8"/>
        <v>2723.9638889491421</v>
      </c>
    </row>
    <row r="42" spans="1:9" ht="13.5" thickBot="1" x14ac:dyDescent="0.25"/>
    <row r="43" spans="1:9" ht="24.95" customHeight="1" x14ac:dyDescent="0.2">
      <c r="A43" s="501" t="s">
        <v>150</v>
      </c>
      <c r="B43" s="341" t="s">
        <v>156</v>
      </c>
      <c r="C43" s="341"/>
      <c r="D43" s="341"/>
      <c r="E43" s="341"/>
      <c r="F43" s="341"/>
      <c r="G43" s="342"/>
      <c r="I43" s="503" t="s">
        <v>157</v>
      </c>
    </row>
    <row r="44" spans="1:9" ht="24.95" customHeight="1" x14ac:dyDescent="0.2">
      <c r="A44" s="502"/>
      <c r="B44" s="344" t="s">
        <v>16</v>
      </c>
      <c r="C44" s="344" t="s">
        <v>17</v>
      </c>
      <c r="D44" s="344" t="s">
        <v>18</v>
      </c>
      <c r="E44" s="344" t="s">
        <v>19</v>
      </c>
      <c r="F44" s="344" t="s">
        <v>20</v>
      </c>
      <c r="G44" s="345" t="s">
        <v>21</v>
      </c>
      <c r="I44" s="504"/>
    </row>
    <row r="45" spans="1:9" s="343" customFormat="1" ht="24.95" customHeight="1" x14ac:dyDescent="0.2">
      <c r="A45" s="351" t="s">
        <v>16</v>
      </c>
      <c r="B45" s="357">
        <f>B$11*B25</f>
        <v>7665237.5615320774</v>
      </c>
      <c r="C45" s="357">
        <f t="shared" ref="C45:G45" si="9">C$11*C25</f>
        <v>3745685.8665911057</v>
      </c>
      <c r="D45" s="357">
        <f t="shared" si="9"/>
        <v>4714405.7942347769</v>
      </c>
      <c r="E45" s="357">
        <f t="shared" si="9"/>
        <v>4765583.074615553</v>
      </c>
      <c r="F45" s="357">
        <f t="shared" si="9"/>
        <v>0</v>
      </c>
      <c r="G45" s="358">
        <f t="shared" si="9"/>
        <v>0</v>
      </c>
      <c r="I45" s="359">
        <f>SUM(B45:H45)</f>
        <v>20890912.296973512</v>
      </c>
    </row>
    <row r="46" spans="1:9" s="343" customFormat="1" ht="24.95" customHeight="1" x14ac:dyDescent="0.2">
      <c r="A46" s="351" t="s">
        <v>17</v>
      </c>
      <c r="B46" s="360">
        <f t="shared" ref="B46:G47" si="10">B$11*B26</f>
        <v>808550.71590096678</v>
      </c>
      <c r="C46" s="360">
        <f t="shared" si="10"/>
        <v>6660257.7567709982</v>
      </c>
      <c r="D46" s="360">
        <f t="shared" si="10"/>
        <v>3482436.4073070413</v>
      </c>
      <c r="E46" s="360">
        <f t="shared" si="10"/>
        <v>4597031.0315752327</v>
      </c>
      <c r="F46" s="360">
        <f t="shared" si="10"/>
        <v>3904133.7762604626</v>
      </c>
      <c r="G46" s="358">
        <f t="shared" si="10"/>
        <v>0</v>
      </c>
      <c r="I46" s="359">
        <f>SUM(B46:H46)</f>
        <v>19452409.687814701</v>
      </c>
    </row>
    <row r="47" spans="1:9" s="343" customFormat="1" ht="24.95" customHeight="1" thickBot="1" x14ac:dyDescent="0.25">
      <c r="A47" s="355" t="s">
        <v>18</v>
      </c>
      <c r="B47" s="361">
        <f t="shared" si="10"/>
        <v>0</v>
      </c>
      <c r="C47" s="361">
        <f t="shared" si="10"/>
        <v>0</v>
      </c>
      <c r="D47" s="361">
        <f t="shared" si="10"/>
        <v>0</v>
      </c>
      <c r="E47" s="361">
        <f t="shared" si="10"/>
        <v>0</v>
      </c>
      <c r="F47" s="361">
        <f t="shared" si="10"/>
        <v>0</v>
      </c>
      <c r="G47" s="362">
        <f t="shared" si="10"/>
        <v>35378690.024054922</v>
      </c>
      <c r="I47" s="363">
        <f>SUM(B47:H47)</f>
        <v>35378690.024054922</v>
      </c>
    </row>
    <row r="48" spans="1:9" ht="13.5" thickBot="1" x14ac:dyDescent="0.25"/>
    <row r="49" spans="1:15" ht="24.95" customHeight="1" x14ac:dyDescent="0.2">
      <c r="A49" s="501" t="s">
        <v>152</v>
      </c>
      <c r="B49" s="341" t="s">
        <v>174</v>
      </c>
      <c r="C49" s="341"/>
      <c r="D49" s="342"/>
    </row>
    <row r="50" spans="1:15" ht="24.95" customHeight="1" x14ac:dyDescent="0.2">
      <c r="A50" s="502"/>
      <c r="B50" s="344" t="s">
        <v>16</v>
      </c>
      <c r="C50" s="344" t="s">
        <v>17</v>
      </c>
      <c r="D50" s="345" t="s">
        <v>18</v>
      </c>
    </row>
    <row r="51" spans="1:15" ht="30" customHeight="1" x14ac:dyDescent="0.2">
      <c r="A51" s="381" t="s">
        <v>2</v>
      </c>
      <c r="B51" s="365">
        <f>I34/I45</f>
        <v>3.3197325334378214E-3</v>
      </c>
      <c r="C51" s="365">
        <f>I35/I46</f>
        <v>2.3124717723637224E-3</v>
      </c>
      <c r="D51" s="366">
        <f>I36/I47</f>
        <v>3.663622412291583E-5</v>
      </c>
      <c r="I51" s="350"/>
      <c r="J51" s="349"/>
      <c r="K51" s="349"/>
      <c r="L51" s="349"/>
      <c r="M51" s="349"/>
      <c r="N51" s="349"/>
      <c r="O51" s="343"/>
    </row>
    <row r="52" spans="1:15" ht="30" customHeight="1" x14ac:dyDescent="0.2">
      <c r="A52" s="381" t="s">
        <v>158</v>
      </c>
      <c r="B52" s="365">
        <f>I38/I45</f>
        <v>9.1291606484070267E-3</v>
      </c>
      <c r="C52" s="365">
        <f>I39/I46</f>
        <v>6.3783825003241893E-3</v>
      </c>
      <c r="D52" s="366">
        <f>I40/I47</f>
        <v>7.6994481341650744E-5</v>
      </c>
      <c r="I52" s="350"/>
      <c r="J52" s="349"/>
      <c r="K52" s="349"/>
      <c r="L52" s="349"/>
      <c r="M52" s="349"/>
      <c r="N52" s="349"/>
      <c r="O52" s="343"/>
    </row>
    <row r="53" spans="1:15" ht="30" customHeight="1" thickBot="1" x14ac:dyDescent="0.25">
      <c r="A53" s="417" t="s">
        <v>163</v>
      </c>
      <c r="B53" s="421">
        <f>SUM(B51:B52)</f>
        <v>1.2448893181844847E-2</v>
      </c>
      <c r="C53" s="421">
        <f t="shared" ref="C53:D53" si="11">SUM(C51:C52)</f>
        <v>8.6908542726879118E-3</v>
      </c>
      <c r="D53" s="422">
        <f t="shared" si="11"/>
        <v>1.1363070546456657E-4</v>
      </c>
      <c r="I53" s="350"/>
      <c r="J53" s="349"/>
      <c r="K53" s="349"/>
      <c r="L53" s="349"/>
      <c r="M53" s="349"/>
      <c r="N53" s="349"/>
      <c r="O53" s="343"/>
    </row>
    <row r="54" spans="1:15" x14ac:dyDescent="0.2">
      <c r="A54" s="379"/>
      <c r="B54" s="380"/>
      <c r="C54" s="380"/>
      <c r="D54" s="380"/>
      <c r="I54" s="350"/>
      <c r="J54" s="349"/>
      <c r="K54" s="349"/>
      <c r="L54" s="349"/>
      <c r="M54" s="349"/>
      <c r="N54" s="349"/>
      <c r="O54" s="343"/>
    </row>
    <row r="56" spans="1:15" s="5" customFormat="1" ht="16.5" customHeight="1" x14ac:dyDescent="0.2">
      <c r="A56" s="5" t="s">
        <v>164</v>
      </c>
    </row>
    <row r="57" spans="1:15" ht="5.0999999999999996" customHeight="1" thickBot="1" x14ac:dyDescent="0.25"/>
    <row r="58" spans="1:15" ht="23.25" customHeight="1" x14ac:dyDescent="0.2">
      <c r="A58" s="501" t="s">
        <v>152</v>
      </c>
      <c r="B58" s="183" t="s">
        <v>167</v>
      </c>
      <c r="C58" s="183"/>
      <c r="D58" s="183"/>
      <c r="E58" s="499" t="s">
        <v>131</v>
      </c>
    </row>
    <row r="59" spans="1:15" ht="38.25" x14ac:dyDescent="0.2">
      <c r="A59" s="502"/>
      <c r="B59" s="264" t="s">
        <v>169</v>
      </c>
      <c r="C59" s="264" t="s">
        <v>170</v>
      </c>
      <c r="D59" s="264" t="s">
        <v>171</v>
      </c>
      <c r="E59" s="500"/>
    </row>
    <row r="60" spans="1:15" customFormat="1" ht="18" customHeight="1" x14ac:dyDescent="0.2">
      <c r="A60" s="383" t="s">
        <v>165</v>
      </c>
      <c r="B60" s="267">
        <f>'Va. Peajes transporte'!B90</f>
        <v>532315.02972436277</v>
      </c>
      <c r="C60" s="267">
        <f>'Va. Peajes transporte'!C90</f>
        <v>115631.53112988177</v>
      </c>
      <c r="D60" s="267">
        <f>SUM(B60:C60)</f>
        <v>647946.56085424451</v>
      </c>
      <c r="E60" s="270">
        <f t="shared" ref="E60" si="12">B60/D60</f>
        <v>0.82154156204265583</v>
      </c>
      <c r="F60" s="263"/>
      <c r="G60" s="263"/>
      <c r="I60" s="263"/>
    </row>
    <row r="61" spans="1:15" customFormat="1" ht="18" customHeight="1" x14ac:dyDescent="0.2">
      <c r="A61" s="383" t="s">
        <v>166</v>
      </c>
      <c r="B61" s="267">
        <f>'Vb. Peajes distribución'!B90</f>
        <v>3129201.5561160138</v>
      </c>
      <c r="C61" s="267">
        <f>'Vb. Peajes distribución'!C90</f>
        <v>317515.36788169615</v>
      </c>
      <c r="D61" s="267">
        <f>SUM(B61:C61)</f>
        <v>3446716.92399771</v>
      </c>
      <c r="E61" s="270">
        <f>B61/D61</f>
        <v>0.90787889609645611</v>
      </c>
      <c r="F61" s="263"/>
      <c r="G61" s="263"/>
      <c r="I61" s="263"/>
    </row>
    <row r="62" spans="1:15" customFormat="1" ht="18" customHeight="1" thickBot="1" x14ac:dyDescent="0.25">
      <c r="A62" s="384" t="s">
        <v>4</v>
      </c>
      <c r="B62" s="271">
        <f>SUM(B60:B61)</f>
        <v>3661516.5858403766</v>
      </c>
      <c r="C62" s="271">
        <f t="shared" ref="C62:D62" si="13">SUM(C60:C61)</f>
        <v>433146.89901157795</v>
      </c>
      <c r="D62" s="271">
        <f t="shared" si="13"/>
        <v>4094663.4848519545</v>
      </c>
      <c r="E62" s="273">
        <f>B62/D62</f>
        <v>0.89421672852629097</v>
      </c>
      <c r="F62" s="263"/>
      <c r="G62" s="263"/>
    </row>
    <row r="63" spans="1:15" ht="13.5" thickBot="1" x14ac:dyDescent="0.25"/>
    <row r="64" spans="1:15" ht="23.25" customHeight="1" x14ac:dyDescent="0.2">
      <c r="A64" s="501" t="s">
        <v>152</v>
      </c>
      <c r="B64" s="183" t="s">
        <v>168</v>
      </c>
      <c r="C64" s="184"/>
    </row>
    <row r="65" spans="1:18" ht="38.25" x14ac:dyDescent="0.2">
      <c r="A65" s="502"/>
      <c r="B65" s="264" t="s">
        <v>172</v>
      </c>
      <c r="C65" s="339" t="s">
        <v>173</v>
      </c>
    </row>
    <row r="66" spans="1:18" customFormat="1" ht="18" customHeight="1" x14ac:dyDescent="0.2">
      <c r="A66" s="383" t="s">
        <v>165</v>
      </c>
      <c r="B66" s="385">
        <f>D60*75%/B60</f>
        <v>0.91291790294239394</v>
      </c>
      <c r="C66" s="386">
        <f>D60*25%/C60</f>
        <v>1.4008864072863614</v>
      </c>
      <c r="D66" s="340"/>
      <c r="E66" s="340"/>
      <c r="F66" s="263"/>
      <c r="G66" s="263"/>
      <c r="I66" s="263"/>
    </row>
    <row r="67" spans="1:18" customFormat="1" ht="18" customHeight="1" thickBot="1" x14ac:dyDescent="0.25">
      <c r="A67" s="387" t="s">
        <v>166</v>
      </c>
      <c r="B67" s="388">
        <f>D61*75%/B61</f>
        <v>0.82610137015489948</v>
      </c>
      <c r="C67" s="389">
        <f>D61*25%/C61</f>
        <v>2.7138189774816905</v>
      </c>
      <c r="D67" s="340"/>
      <c r="E67" s="340"/>
      <c r="F67" s="263"/>
      <c r="G67" s="263"/>
      <c r="I67" s="263"/>
    </row>
    <row r="68" spans="1:18" ht="13.5" thickBot="1" x14ac:dyDescent="0.25"/>
    <row r="69" spans="1:18" ht="24.95" customHeight="1" x14ac:dyDescent="0.2">
      <c r="A69" s="501" t="s">
        <v>152</v>
      </c>
      <c r="B69" s="183" t="s">
        <v>129</v>
      </c>
      <c r="C69" s="183"/>
      <c r="D69" s="341" t="s">
        <v>174</v>
      </c>
      <c r="E69" s="341"/>
      <c r="F69" s="342"/>
    </row>
    <row r="70" spans="1:18" ht="24.95" customHeight="1" x14ac:dyDescent="0.2">
      <c r="A70" s="502"/>
      <c r="B70" s="185" t="s">
        <v>16</v>
      </c>
      <c r="C70" s="185" t="s">
        <v>17</v>
      </c>
      <c r="D70" s="344" t="s">
        <v>16</v>
      </c>
      <c r="E70" s="344" t="s">
        <v>17</v>
      </c>
      <c r="F70" s="345" t="s">
        <v>18</v>
      </c>
    </row>
    <row r="71" spans="1:18" ht="30" customHeight="1" x14ac:dyDescent="0.2">
      <c r="A71" s="381" t="s">
        <v>2</v>
      </c>
      <c r="B71" s="390">
        <f>'Va. Peajes transporte'!B79*$B$66</f>
        <v>3.9472890227943078</v>
      </c>
      <c r="C71" s="390">
        <f>'Va. Peajes transporte'!C79*$B$66</f>
        <v>2.4277270418384175E-2</v>
      </c>
      <c r="D71" s="391">
        <f>B51*$C$66</f>
        <v>4.6505681819193605E-3</v>
      </c>
      <c r="E71" s="391">
        <f>C51*$C$66</f>
        <v>3.2395102731377396E-3</v>
      </c>
      <c r="F71" s="392">
        <f>D51*$C$66</f>
        <v>5.1323188388089481E-5</v>
      </c>
      <c r="L71" s="350"/>
      <c r="M71" s="349"/>
      <c r="N71" s="349"/>
      <c r="O71" s="349"/>
      <c r="P71" s="349"/>
      <c r="Q71" s="349"/>
      <c r="R71" s="343"/>
    </row>
    <row r="72" spans="1:18" ht="30" customHeight="1" x14ac:dyDescent="0.2">
      <c r="A72" s="381" t="s">
        <v>158</v>
      </c>
      <c r="B72" s="390">
        <f>'Vb. Peajes distribución'!B79*$B$67</f>
        <v>20.367598523270182</v>
      </c>
      <c r="C72" s="390">
        <f>'Vb. Peajes distribución'!C79*$B$67</f>
        <v>0.75868179761706667</v>
      </c>
      <c r="D72" s="391">
        <f>B52*$C$67</f>
        <v>2.4774889416126045E-2</v>
      </c>
      <c r="E72" s="391">
        <f>C52*$C$67</f>
        <v>1.73097754750169E-2</v>
      </c>
      <c r="F72" s="392">
        <f>D52*$C$67</f>
        <v>2.0894908462633173E-4</v>
      </c>
      <c r="L72" s="350"/>
      <c r="M72" s="349"/>
      <c r="N72" s="349"/>
      <c r="O72" s="349"/>
      <c r="P72" s="349"/>
      <c r="Q72" s="349"/>
      <c r="R72" s="343"/>
    </row>
    <row r="73" spans="1:18" ht="30" customHeight="1" thickBot="1" x14ac:dyDescent="0.25">
      <c r="A73" s="417" t="s">
        <v>163</v>
      </c>
      <c r="B73" s="418">
        <f>SUM(B71:B72)</f>
        <v>24.31488754606449</v>
      </c>
      <c r="C73" s="418">
        <f>SUM(C71:C72)</f>
        <v>0.78295906803545079</v>
      </c>
      <c r="D73" s="419">
        <f>SUM(D71:D72)</f>
        <v>2.9425457598045407E-2</v>
      </c>
      <c r="E73" s="419">
        <f t="shared" ref="E73" si="14">SUM(E71:E72)</f>
        <v>2.0549285748154639E-2</v>
      </c>
      <c r="F73" s="420">
        <f t="shared" ref="F73" si="15">SUM(F71:F72)</f>
        <v>2.6027227301442121E-4</v>
      </c>
      <c r="L73" s="350"/>
      <c r="M73" s="349"/>
      <c r="N73" s="349"/>
      <c r="O73" s="349"/>
      <c r="P73" s="349"/>
      <c r="Q73" s="349"/>
      <c r="R73" s="343"/>
    </row>
    <row r="74" spans="1:18" ht="13.5" thickBot="1" x14ac:dyDescent="0.25"/>
    <row r="75" spans="1:18" ht="22.5" customHeight="1" x14ac:dyDescent="0.2">
      <c r="A75" s="501" t="s">
        <v>152</v>
      </c>
      <c r="B75" s="183" t="s">
        <v>167</v>
      </c>
      <c r="C75" s="183"/>
      <c r="D75" s="183"/>
      <c r="E75" s="499" t="s">
        <v>131</v>
      </c>
    </row>
    <row r="76" spans="1:18" ht="25.5" x14ac:dyDescent="0.2">
      <c r="A76" s="502"/>
      <c r="B76" s="264" t="s">
        <v>100</v>
      </c>
      <c r="C76" s="264" t="s">
        <v>101</v>
      </c>
      <c r="D76" s="264" t="s">
        <v>4</v>
      </c>
      <c r="E76" s="500"/>
    </row>
    <row r="77" spans="1:18" s="343" customFormat="1" ht="24.95" customHeight="1" x14ac:dyDescent="0.2">
      <c r="A77" s="383" t="s">
        <v>165</v>
      </c>
      <c r="B77" s="393">
        <f>B71*'I. Datos de entrada'!$C$114+C71*'I. Datos de entrada'!$H$114</f>
        <v>485959.92064068333</v>
      </c>
      <c r="C77" s="393">
        <f>$I$45*D71+$I$46*E71+$I$47*F71</f>
        <v>161986.64021356113</v>
      </c>
      <c r="D77" s="393">
        <f>SUM(B77:C77)</f>
        <v>647946.56085424451</v>
      </c>
      <c r="E77" s="394">
        <f t="shared" ref="E77" si="16">B77/D77</f>
        <v>0.74999999999999989</v>
      </c>
    </row>
    <row r="78" spans="1:18" s="343" customFormat="1" ht="24.95" customHeight="1" x14ac:dyDescent="0.2">
      <c r="A78" s="383" t="s">
        <v>166</v>
      </c>
      <c r="B78" s="393">
        <f>B72*'I. Datos de entrada'!$C$114+C72*'I. Datos de entrada'!$H$114</f>
        <v>2585037.6929982831</v>
      </c>
      <c r="C78" s="393">
        <f>$I$45*D72+$I$46*E72+$I$47*F72</f>
        <v>861679.23099942761</v>
      </c>
      <c r="D78" s="393">
        <f>SUM(B78:C78)</f>
        <v>3446716.9239977105</v>
      </c>
      <c r="E78" s="394">
        <f>B78/D78</f>
        <v>0.75000000000000011</v>
      </c>
    </row>
    <row r="79" spans="1:18" s="343" customFormat="1" ht="24.95" customHeight="1" thickBot="1" x14ac:dyDescent="0.25">
      <c r="A79" s="434" t="s">
        <v>4</v>
      </c>
      <c r="B79" s="435">
        <f>SUM(B77:B78)</f>
        <v>3070997.6136389663</v>
      </c>
      <c r="C79" s="435">
        <f t="shared" ref="C79" si="17">SUM(C77:C78)</f>
        <v>1023665.8712129887</v>
      </c>
      <c r="D79" s="435">
        <f t="shared" ref="D79" si="18">SUM(D77:D78)</f>
        <v>4094663.484851955</v>
      </c>
      <c r="E79" s="436">
        <f>B79/D79</f>
        <v>0.75</v>
      </c>
    </row>
    <row r="80" spans="1:18" x14ac:dyDescent="0.2">
      <c r="D80" s="527">
        <f>D79-SUM('Va. Peajes transporte'!D90,'Vb. Peajes distribución'!D90)</f>
        <v>0</v>
      </c>
    </row>
  </sheetData>
  <mergeCells count="16">
    <mergeCell ref="A64:A65"/>
    <mergeCell ref="A69:A70"/>
    <mergeCell ref="A75:A76"/>
    <mergeCell ref="E75:E76"/>
    <mergeCell ref="A43:A44"/>
    <mergeCell ref="I43:I44"/>
    <mergeCell ref="A49:A50"/>
    <mergeCell ref="I18:I19"/>
    <mergeCell ref="E58:E59"/>
    <mergeCell ref="A58:A59"/>
    <mergeCell ref="I31:I32"/>
    <mergeCell ref="A9:A10"/>
    <mergeCell ref="A13:A14"/>
    <mergeCell ref="A18:A19"/>
    <mergeCell ref="A23:A24"/>
    <mergeCell ref="A31:A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I. Datos de entrada</vt:lpstr>
      <vt:lpstr>IIa. Balances de Potencia</vt:lpstr>
      <vt:lpstr>IIb. Balances de energía</vt:lpstr>
      <vt:lpstr>IIIa. Coeficientes Potencia</vt:lpstr>
      <vt:lpstr>IIIb. Coeficientes Energía</vt:lpstr>
      <vt:lpstr>IV. Metodología de asignación</vt:lpstr>
      <vt:lpstr>Va. Peajes transporte</vt:lpstr>
      <vt:lpstr>Vb. Peajes distribución</vt:lpstr>
      <vt:lpstr>VI. Diseño del Peaje 2.0 TD</vt:lpstr>
      <vt:lpstr>VII. Peajes T&amp;D</vt:lpstr>
      <vt:lpstr>VIII. Pagos autoconsumo próximo</vt:lpstr>
      <vt:lpstr>IX. Peajes VE</vt:lpstr>
      <vt:lpstr>'IIb. Balances de energía'!Área_de_impresión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Metodología de Asignación T &amp; D</dc:title>
  <dc:creator/>
  <cp:lastModifiedBy/>
  <dcterms:created xsi:type="dcterms:W3CDTF">2019-11-27T14:11:12Z</dcterms:created>
  <dcterms:modified xsi:type="dcterms:W3CDTF">2019-11-28T09:22:09Z</dcterms:modified>
</cp:coreProperties>
</file>