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codeName="ThisWorkbook" hidePivotFieldList="1" defaultThemeVersion="124226"/>
  <xr:revisionPtr revIDLastSave="0" documentId="13_ncr:1_{C6B6A756-3822-497C-9578-155EE4D0BAA7}" xr6:coauthVersionLast="47" xr6:coauthVersionMax="47" xr10:uidLastSave="{00000000-0000-0000-0000-000000000000}"/>
  <bookViews>
    <workbookView xWindow="-98" yWindow="-98" windowWidth="28996" windowHeight="15796" tabRatio="751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65" l="1"/>
  <c r="E82" i="65"/>
  <c r="N33" i="66" l="1"/>
  <c r="M33" i="66"/>
  <c r="L33" i="66"/>
  <c r="G33" i="66"/>
  <c r="F33" i="66"/>
  <c r="E33" i="66"/>
  <c r="D33" i="66"/>
  <c r="F88" i="1"/>
  <c r="C15" i="1" l="1"/>
  <c r="F122" i="1" l="1"/>
  <c r="C108" i="1" l="1"/>
  <c r="E122" i="1"/>
  <c r="D122" i="1"/>
  <c r="G122" i="1"/>
  <c r="I61" i="59" l="1"/>
  <c r="C39" i="59"/>
  <c r="J35" i="59" s="1"/>
  <c r="B28" i="58"/>
  <c r="G50" i="58"/>
  <c r="H46" i="58" s="1"/>
  <c r="G17" i="59"/>
  <c r="H16" i="59" s="1"/>
  <c r="E17" i="59"/>
  <c r="J15" i="59" s="1"/>
  <c r="F28" i="59"/>
  <c r="J27" i="59" s="1"/>
  <c r="G28" i="59"/>
  <c r="H26" i="59" s="1"/>
  <c r="J34" i="59"/>
  <c r="F39" i="59"/>
  <c r="J38" i="59" s="1"/>
  <c r="F50" i="59"/>
  <c r="J49" i="59" s="1"/>
  <c r="G50" i="59"/>
  <c r="H49" i="59" s="1"/>
  <c r="D61" i="59"/>
  <c r="J58" i="59" s="1"/>
  <c r="E72" i="59"/>
  <c r="J70" i="59" s="1"/>
  <c r="F72" i="59"/>
  <c r="J71" i="59" s="1"/>
  <c r="D28" i="58"/>
  <c r="J25" i="58" s="1"/>
  <c r="E39" i="58"/>
  <c r="J37" i="58" s="1"/>
  <c r="B39" i="58"/>
  <c r="F39" i="58"/>
  <c r="J38" i="58" s="1"/>
  <c r="C39" i="58"/>
  <c r="J35" i="58" s="1"/>
  <c r="G39" i="58"/>
  <c r="H35" i="58" s="1"/>
  <c r="D39" i="58"/>
  <c r="J36" i="58" s="1"/>
  <c r="I39" i="58"/>
  <c r="B50" i="58"/>
  <c r="F61" i="58"/>
  <c r="J60" i="58" s="1"/>
  <c r="E72" i="58"/>
  <c r="J70" i="58" s="1"/>
  <c r="E28" i="59"/>
  <c r="J26" i="59" s="1"/>
  <c r="B28" i="59"/>
  <c r="C28" i="59"/>
  <c r="J24" i="59" s="1"/>
  <c r="D28" i="59"/>
  <c r="J25" i="59" s="1"/>
  <c r="I28" i="59"/>
  <c r="J67" i="59"/>
  <c r="C72" i="59"/>
  <c r="J68" i="59" s="1"/>
  <c r="G72" i="59"/>
  <c r="H71" i="59" s="1"/>
  <c r="D72" i="59"/>
  <c r="J69" i="59" s="1"/>
  <c r="I72" i="59"/>
  <c r="J23" i="58"/>
  <c r="F28" i="58"/>
  <c r="J27" i="58" s="1"/>
  <c r="C28" i="58"/>
  <c r="J24" i="58" s="1"/>
  <c r="I28" i="58"/>
  <c r="J67" i="58"/>
  <c r="B72" i="58"/>
  <c r="F72" i="58"/>
  <c r="J71" i="58" s="1"/>
  <c r="C72" i="58"/>
  <c r="J68" i="58" s="1"/>
  <c r="D72" i="58"/>
  <c r="J69" i="58" s="1"/>
  <c r="I72" i="58"/>
  <c r="B17" i="59"/>
  <c r="F17" i="59"/>
  <c r="J16" i="59" s="1"/>
  <c r="C17" i="59"/>
  <c r="J13" i="59" s="1"/>
  <c r="D17" i="59"/>
  <c r="J14" i="59" s="1"/>
  <c r="I17" i="59"/>
  <c r="E61" i="59"/>
  <c r="J59" i="59" s="1"/>
  <c r="B61" i="59"/>
  <c r="F61" i="59"/>
  <c r="J60" i="59" s="1"/>
  <c r="C61" i="59"/>
  <c r="J57" i="59" s="1"/>
  <c r="E61" i="58"/>
  <c r="J59" i="58" s="1"/>
  <c r="C61" i="58"/>
  <c r="J57" i="58" s="1"/>
  <c r="D61" i="58"/>
  <c r="J58" i="58" s="1"/>
  <c r="I61" i="58"/>
  <c r="D39" i="59"/>
  <c r="J36" i="59" s="1"/>
  <c r="I39" i="59"/>
  <c r="E39" i="59"/>
  <c r="J37" i="59" s="1"/>
  <c r="E50" i="59"/>
  <c r="J48" i="59" s="1"/>
  <c r="B50" i="59"/>
  <c r="C50" i="59"/>
  <c r="J46" i="59" s="1"/>
  <c r="D50" i="59"/>
  <c r="J47" i="59" s="1"/>
  <c r="I50" i="59"/>
  <c r="E50" i="58"/>
  <c r="J48" i="58" s="1"/>
  <c r="F50" i="58"/>
  <c r="J49" i="58" s="1"/>
  <c r="C50" i="58"/>
  <c r="J46" i="58" s="1"/>
  <c r="D50" i="58"/>
  <c r="J47" i="58" s="1"/>
  <c r="I50" i="58"/>
  <c r="I17" i="58"/>
  <c r="B17" i="58"/>
  <c r="F17" i="58"/>
  <c r="J16" i="58" s="1"/>
  <c r="G17" i="58"/>
  <c r="H14" i="58" s="1"/>
  <c r="E17" i="58"/>
  <c r="C17" i="58"/>
  <c r="J13" i="58" s="1"/>
  <c r="D17" i="58"/>
  <c r="B61" i="58"/>
  <c r="E28" i="58"/>
  <c r="J26" i="58" s="1"/>
  <c r="G28" i="58"/>
  <c r="H25" i="58" s="1"/>
  <c r="J45" i="59"/>
  <c r="J23" i="59"/>
  <c r="G61" i="59"/>
  <c r="B39" i="59"/>
  <c r="B72" i="59"/>
  <c r="J12" i="59"/>
  <c r="G39" i="59"/>
  <c r="H35" i="59" s="1"/>
  <c r="J56" i="59"/>
  <c r="H47" i="58"/>
  <c r="J34" i="58"/>
  <c r="G61" i="58"/>
  <c r="H59" i="58" s="1"/>
  <c r="J45" i="58"/>
  <c r="G72" i="58"/>
  <c r="H67" i="58" s="1"/>
  <c r="J12" i="58"/>
  <c r="J56" i="58"/>
  <c r="H45" i="58" l="1"/>
  <c r="H48" i="58"/>
  <c r="H67" i="59"/>
  <c r="H49" i="58"/>
  <c r="H50" i="58" s="1"/>
  <c r="H14" i="59"/>
  <c r="H48" i="59"/>
  <c r="H70" i="59"/>
  <c r="H24" i="59"/>
  <c r="H69" i="59"/>
  <c r="H12" i="59"/>
  <c r="H68" i="59"/>
  <c r="J15" i="58"/>
  <c r="H23" i="59"/>
  <c r="H25" i="59"/>
  <c r="H27" i="59"/>
  <c r="H15" i="59"/>
  <c r="H13" i="59"/>
  <c r="H34" i="58"/>
  <c r="H38" i="58"/>
  <c r="H37" i="58"/>
  <c r="H36" i="58"/>
  <c r="H46" i="59"/>
  <c r="H47" i="59"/>
  <c r="H58" i="58"/>
  <c r="H45" i="59"/>
  <c r="J14" i="58"/>
  <c r="H23" i="58"/>
  <c r="H27" i="58"/>
  <c r="H68" i="58"/>
  <c r="H26" i="58"/>
  <c r="H24" i="58"/>
  <c r="H60" i="59"/>
  <c r="H58" i="59"/>
  <c r="H56" i="59"/>
  <c r="H57" i="59"/>
  <c r="H37" i="59"/>
  <c r="H59" i="59"/>
  <c r="H38" i="59"/>
  <c r="H34" i="59"/>
  <c r="H36" i="59"/>
  <c r="H15" i="58"/>
  <c r="H16" i="58"/>
  <c r="H12" i="58"/>
  <c r="H69" i="58"/>
  <c r="H70" i="58"/>
  <c r="H60" i="58"/>
  <c r="H56" i="58"/>
  <c r="H71" i="58"/>
  <c r="H57" i="58"/>
  <c r="H13" i="58"/>
  <c r="H72" i="59" l="1"/>
  <c r="H28" i="59"/>
  <c r="H50" i="59"/>
  <c r="H39" i="58"/>
  <c r="H17" i="59"/>
  <c r="H28" i="58"/>
  <c r="H72" i="58"/>
  <c r="H61" i="58"/>
  <c r="H39" i="59"/>
  <c r="H61" i="59"/>
  <c r="H17" i="58"/>
  <c r="D83" i="1" l="1"/>
  <c r="F83" i="1"/>
  <c r="B83" i="1"/>
  <c r="E83" i="1"/>
  <c r="C83" i="1"/>
  <c r="C129" i="1" l="1"/>
  <c r="G129" i="1"/>
  <c r="D129" i="1"/>
  <c r="H129" i="1"/>
  <c r="E129" i="1"/>
  <c r="F129" i="1"/>
  <c r="I19" i="61"/>
  <c r="I15" i="61"/>
  <c r="D15" i="61"/>
  <c r="I20" i="61" l="1"/>
  <c r="I26" i="66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B46" i="71" l="1"/>
  <c r="B45" i="71"/>
  <c r="B44" i="71" l="1"/>
  <c r="D108" i="1"/>
  <c r="G108" i="1"/>
  <c r="I107" i="1"/>
  <c r="H108" i="1"/>
  <c r="E108" i="1"/>
  <c r="F108" i="1"/>
  <c r="F15" i="61" l="1"/>
  <c r="B11" i="71"/>
  <c r="G19" i="61"/>
  <c r="D15" i="60"/>
  <c r="H15" i="60"/>
  <c r="F19" i="61"/>
  <c r="G15" i="61"/>
  <c r="H12" i="61"/>
  <c r="D19" i="60"/>
  <c r="H15" i="61"/>
  <c r="F15" i="60"/>
  <c r="E15" i="60"/>
  <c r="I15" i="60"/>
  <c r="F11" i="71"/>
  <c r="G11" i="71"/>
  <c r="C11" i="71"/>
  <c r="E11" i="71"/>
  <c r="D11" i="71"/>
  <c r="I108" i="1"/>
  <c r="D20" i="60" l="1"/>
  <c r="I20" i="60"/>
  <c r="H20" i="60"/>
  <c r="F20" i="61"/>
  <c r="E20" i="60"/>
  <c r="F20" i="60"/>
  <c r="G20" i="61"/>
  <c r="E15" i="61"/>
  <c r="H16" i="6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H85" i="62" l="1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E11" i="61" l="1"/>
  <c r="D20" i="61"/>
  <c r="E10" i="61"/>
  <c r="D10" i="61"/>
  <c r="I12" i="60"/>
  <c r="I11" i="60"/>
  <c r="H10" i="61"/>
  <c r="I10" i="61"/>
  <c r="H10" i="60"/>
  <c r="F10" i="60"/>
  <c r="G10" i="60"/>
  <c r="D19" i="61"/>
  <c r="D12" i="61"/>
  <c r="E19" i="61"/>
  <c r="E12" i="61"/>
  <c r="H11" i="61"/>
  <c r="I10" i="60"/>
  <c r="I11" i="61"/>
  <c r="F10" i="61"/>
  <c r="I12" i="61"/>
  <c r="H19" i="61"/>
  <c r="F11" i="61"/>
  <c r="D11" i="61"/>
  <c r="E10" i="60"/>
  <c r="H12" i="60"/>
  <c r="H19" i="60"/>
  <c r="G12" i="60"/>
  <c r="H11" i="60"/>
  <c r="I19" i="60"/>
  <c r="F11" i="60"/>
  <c r="G11" i="60"/>
  <c r="G15" i="60"/>
  <c r="F19" i="60"/>
  <c r="G19" i="60"/>
  <c r="F12" i="60"/>
  <c r="D10" i="60"/>
  <c r="D11" i="60"/>
  <c r="E19" i="60"/>
  <c r="E12" i="60"/>
  <c r="E11" i="60"/>
  <c r="D12" i="60"/>
  <c r="I14" i="60" l="1"/>
  <c r="E14" i="60"/>
  <c r="G20" i="60"/>
  <c r="H14" i="60"/>
  <c r="F14" i="60"/>
  <c r="D14" i="60"/>
  <c r="G14" i="60"/>
  <c r="I16" i="61"/>
  <c r="I16" i="60"/>
  <c r="D16" i="61"/>
  <c r="H14" i="61"/>
  <c r="E16" i="61"/>
  <c r="F16" i="60"/>
  <c r="H13" i="61"/>
  <c r="E13" i="61"/>
  <c r="G16" i="60"/>
  <c r="D16" i="60"/>
  <c r="E16" i="60"/>
  <c r="H16" i="60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D13" i="61"/>
  <c r="E13" i="60"/>
  <c r="I13" i="61"/>
  <c r="E87" i="62"/>
  <c r="I13" i="60"/>
  <c r="H86" i="62"/>
  <c r="F13" i="60"/>
  <c r="E86" i="62"/>
  <c r="G13" i="60"/>
  <c r="G91" i="62"/>
  <c r="H91" i="62"/>
  <c r="G87" i="62"/>
  <c r="H13" i="60"/>
  <c r="G86" i="62"/>
  <c r="H71" i="62"/>
  <c r="G67" i="62"/>
  <c r="E20" i="61"/>
  <c r="D71" i="62"/>
  <c r="H20" i="61"/>
  <c r="G71" i="62"/>
  <c r="D14" i="61"/>
  <c r="C67" i="62"/>
  <c r="I14" i="61"/>
  <c r="H67" i="62"/>
  <c r="C91" i="62"/>
  <c r="C86" i="62"/>
  <c r="C88" i="62"/>
  <c r="C95" i="62"/>
  <c r="C87" i="62"/>
  <c r="F13" i="61"/>
  <c r="F14" i="61"/>
  <c r="D13" i="60"/>
  <c r="I18" i="61" l="1"/>
  <c r="H21" i="60"/>
  <c r="H18" i="61"/>
  <c r="E17" i="60"/>
  <c r="E21" i="60"/>
  <c r="F18" i="60"/>
  <c r="H17" i="60"/>
  <c r="G17" i="60"/>
  <c r="I17" i="60"/>
  <c r="D21" i="60"/>
  <c r="F21" i="60"/>
  <c r="I21" i="60"/>
  <c r="F17" i="60"/>
  <c r="I17" i="61"/>
  <c r="G18" i="60"/>
  <c r="I18" i="60"/>
  <c r="D18" i="61"/>
  <c r="D17" i="60"/>
  <c r="E18" i="61"/>
  <c r="G21" i="60"/>
  <c r="I21" i="61"/>
  <c r="D18" i="60"/>
  <c r="H18" i="60"/>
  <c r="E18" i="60"/>
  <c r="H17" i="61"/>
  <c r="F17" i="61"/>
  <c r="F16" i="61"/>
  <c r="F18" i="6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C70" i="62"/>
  <c r="E21" i="61"/>
  <c r="D72" i="62"/>
  <c r="F92" i="62"/>
  <c r="C92" i="62"/>
  <c r="D92" i="62"/>
  <c r="C89" i="62"/>
  <c r="H92" i="62"/>
  <c r="C90" i="62"/>
  <c r="E92" i="62"/>
  <c r="C96" i="62"/>
  <c r="G92" i="62"/>
  <c r="G10" i="61"/>
  <c r="G12" i="61"/>
  <c r="G11" i="61"/>
  <c r="E23" i="61" l="1"/>
  <c r="H23" i="61"/>
  <c r="I23" i="61"/>
  <c r="F23" i="61"/>
  <c r="H23" i="60"/>
  <c r="D23" i="61"/>
  <c r="I22" i="60"/>
  <c r="H22" i="60"/>
  <c r="E23" i="60"/>
  <c r="D23" i="60"/>
  <c r="D22" i="60"/>
  <c r="I23" i="60"/>
  <c r="I22" i="61"/>
  <c r="G22" i="60"/>
  <c r="F23" i="60"/>
  <c r="E22" i="60"/>
  <c r="G23" i="60"/>
  <c r="F22" i="60"/>
  <c r="G16" i="61"/>
  <c r="D22" i="6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F22" i="61"/>
  <c r="C78" i="62" l="1"/>
  <c r="G18" i="61"/>
  <c r="F72" i="62"/>
  <c r="G17" i="6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G22" i="61" l="1"/>
  <c r="G23" i="61"/>
  <c r="F74" i="62"/>
  <c r="F77" i="62"/>
  <c r="F73" i="62"/>
  <c r="B50" i="62"/>
  <c r="E79" i="62"/>
  <c r="E76" i="62"/>
  <c r="E77" i="62"/>
  <c r="F78" i="62" l="1"/>
  <c r="F79" i="62"/>
  <c r="E11" i="62"/>
  <c r="H11" i="62"/>
  <c r="G11" i="62"/>
  <c r="F11" i="62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65" i="1" l="1"/>
  <c r="D65" i="1" s="1"/>
  <c r="C64" i="1"/>
  <c r="D64" i="1" s="1"/>
  <c r="C63" i="1"/>
  <c r="D63" i="1" s="1"/>
  <c r="C62" i="1"/>
  <c r="D62" i="1" s="1"/>
  <c r="C61" i="1"/>
  <c r="D61" i="1" s="1"/>
  <c r="B53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57" i="62" l="1"/>
  <c r="C57" i="62"/>
  <c r="E57" i="62"/>
  <c r="D57" i="62"/>
  <c r="B57" i="62"/>
  <c r="F99" i="1"/>
  <c r="B99" i="1"/>
  <c r="E99" i="1"/>
  <c r="D99" i="1"/>
  <c r="C99" i="1"/>
  <c r="F25" i="64" l="1"/>
  <c r="C25" i="64"/>
  <c r="D25" i="64"/>
  <c r="E25" i="64"/>
  <c r="G25" i="64"/>
  <c r="C24" i="64" l="1"/>
  <c r="C24" i="65"/>
  <c r="D24" i="65"/>
  <c r="D24" i="64"/>
  <c r="C24" i="67"/>
  <c r="J25" i="64"/>
  <c r="B24" i="67"/>
  <c r="I25" i="64"/>
  <c r="G24" i="65"/>
  <c r="G24" i="64"/>
  <c r="L25" i="64"/>
  <c r="E24" i="67"/>
  <c r="E24" i="64"/>
  <c r="E24" i="65"/>
  <c r="B25" i="64"/>
  <c r="M25" i="64" l="1"/>
  <c r="F24" i="67"/>
  <c r="I113" i="1"/>
  <c r="G24" i="67"/>
  <c r="N25" i="64"/>
  <c r="F24" i="64"/>
  <c r="F24" i="65"/>
  <c r="B24" i="64"/>
  <c r="B24" i="65"/>
  <c r="D24" i="67"/>
  <c r="K25" i="64"/>
  <c r="B21" i="65" l="1"/>
  <c r="B21" i="64"/>
  <c r="E21" i="64"/>
  <c r="G21" i="65"/>
  <c r="C21" i="65"/>
  <c r="C21" i="64"/>
  <c r="F21" i="64"/>
  <c r="D21" i="64"/>
  <c r="F21" i="65" l="1"/>
  <c r="G21" i="64"/>
  <c r="D21" i="65"/>
  <c r="E21" i="65"/>
  <c r="L24" i="64" l="1"/>
  <c r="L24" i="65"/>
  <c r="E23" i="67"/>
  <c r="M24" i="64"/>
  <c r="F23" i="67"/>
  <c r="M24" i="65"/>
  <c r="J24" i="65"/>
  <c r="J24" i="64"/>
  <c r="C23" i="67"/>
  <c r="N24" i="65"/>
  <c r="G23" i="67"/>
  <c r="N24" i="64"/>
  <c r="K24" i="64"/>
  <c r="K24" i="65"/>
  <c r="D23" i="67"/>
  <c r="I112" i="1"/>
  <c r="I24" i="65"/>
  <c r="I24" i="64"/>
  <c r="B23" i="67"/>
  <c r="B20" i="67" l="1"/>
  <c r="C20" i="67"/>
  <c r="D20" i="67"/>
  <c r="J21" i="65" l="1"/>
  <c r="J21" i="64"/>
  <c r="I21" i="65"/>
  <c r="I21" i="64"/>
  <c r="K21" i="65"/>
  <c r="K21" i="64"/>
  <c r="E20" i="67"/>
  <c r="G20" i="67"/>
  <c r="F20" i="67"/>
  <c r="N21" i="65" l="1"/>
  <c r="N21" i="64"/>
  <c r="M21" i="65"/>
  <c r="M21" i="64"/>
  <c r="L21" i="64"/>
  <c r="L21" i="65"/>
  <c r="I109" i="1"/>
  <c r="C23" i="64" l="1"/>
  <c r="C23" i="65"/>
  <c r="G23" i="65"/>
  <c r="G23" i="64"/>
  <c r="B23" i="65"/>
  <c r="B23" i="64"/>
  <c r="D23" i="65" l="1"/>
  <c r="D23" i="64"/>
  <c r="G22" i="67" l="1"/>
  <c r="N23" i="65"/>
  <c r="N23" i="64"/>
  <c r="E23" i="64"/>
  <c r="E23" i="65"/>
  <c r="D22" i="67"/>
  <c r="K23" i="65"/>
  <c r="K23" i="64"/>
  <c r="L23" i="64"/>
  <c r="E22" i="67"/>
  <c r="L23" i="65"/>
  <c r="F22" i="67"/>
  <c r="M23" i="65"/>
  <c r="M23" i="64"/>
  <c r="I23" i="64"/>
  <c r="I23" i="65"/>
  <c r="I111" i="1"/>
  <c r="B22" i="67"/>
  <c r="J23" i="65"/>
  <c r="J23" i="64"/>
  <c r="C22" i="67"/>
  <c r="F23" i="65" l="1"/>
  <c r="F23" i="64"/>
  <c r="C22" i="65" l="1"/>
  <c r="C22" i="64"/>
  <c r="G22" i="64"/>
  <c r="G22" i="65"/>
  <c r="B22" i="65"/>
  <c r="B22" i="64"/>
  <c r="I22" i="65" l="1"/>
  <c r="B21" i="67"/>
  <c r="I22" i="64"/>
  <c r="C115" i="1"/>
  <c r="E115" i="1"/>
  <c r="D22" i="65"/>
  <c r="D22" i="64"/>
  <c r="C21" i="67" l="1"/>
  <c r="J22" i="64"/>
  <c r="J22" i="65"/>
  <c r="D115" i="1"/>
  <c r="E22" i="64"/>
  <c r="E22" i="65"/>
  <c r="D21" i="67"/>
  <c r="K22" i="65"/>
  <c r="K22" i="64"/>
  <c r="N22" i="64"/>
  <c r="N22" i="65"/>
  <c r="G21" i="67"/>
  <c r="H115" i="1"/>
  <c r="L22" i="64"/>
  <c r="L22" i="65"/>
  <c r="E21" i="67"/>
  <c r="F115" i="1"/>
  <c r="M22" i="64"/>
  <c r="M22" i="65"/>
  <c r="F21" i="67"/>
  <c r="G115" i="1"/>
  <c r="I110" i="1"/>
  <c r="I115" i="1" l="1"/>
  <c r="F22" i="64"/>
  <c r="F22" i="65"/>
  <c r="C21" i="1" l="1"/>
  <c r="C19" i="1" s="1"/>
  <c r="C14" i="1" s="1"/>
  <c r="D10" i="62" l="1"/>
  <c r="D23" i="62" s="1"/>
  <c r="L55" i="62" s="1"/>
  <c r="C38" i="1"/>
  <c r="C36" i="1" s="1"/>
  <c r="C32" i="1" s="1"/>
  <c r="D20" i="62" l="1"/>
  <c r="L50" i="62"/>
  <c r="J97" i="62" s="1"/>
  <c r="I15" i="64" s="1"/>
  <c r="I31" i="64" s="1"/>
  <c r="L54" i="62"/>
  <c r="N98" i="62" s="1"/>
  <c r="M14" i="64" s="1"/>
  <c r="L51" i="62"/>
  <c r="K97" i="62" s="1"/>
  <c r="J15" i="64" s="1"/>
  <c r="J31" i="64" s="1"/>
  <c r="L52" i="62"/>
  <c r="L98" i="62" s="1"/>
  <c r="K14" i="64" s="1"/>
  <c r="K30" i="64" s="1"/>
  <c r="L53" i="62"/>
  <c r="M99" i="62" s="1"/>
  <c r="L13" i="64" s="1"/>
  <c r="L29" i="64" s="1"/>
  <c r="F10" i="62"/>
  <c r="F20" i="62" s="1"/>
  <c r="G10" i="62"/>
  <c r="G23" i="62" s="1"/>
  <c r="H10" i="62"/>
  <c r="H23" i="62" s="1"/>
  <c r="E10" i="62"/>
  <c r="E23" i="62" s="1"/>
  <c r="O99" i="62"/>
  <c r="N13" i="64" s="1"/>
  <c r="N29" i="64" s="1"/>
  <c r="O95" i="62"/>
  <c r="O96" i="62"/>
  <c r="N16" i="64" s="1"/>
  <c r="N32" i="64" s="1"/>
  <c r="O98" i="62"/>
  <c r="N14" i="64" s="1"/>
  <c r="N30" i="64" s="1"/>
  <c r="O97" i="62"/>
  <c r="N15" i="64" s="1"/>
  <c r="N31" i="64" s="1"/>
  <c r="N41" i="64" s="1"/>
  <c r="E20" i="62" l="1"/>
  <c r="K36" i="62" s="1"/>
  <c r="N95" i="62"/>
  <c r="L36" i="62"/>
  <c r="L39" i="62"/>
  <c r="L38" i="62"/>
  <c r="L35" i="62"/>
  <c r="L37" i="62"/>
  <c r="L34" i="62"/>
  <c r="F23" i="62"/>
  <c r="J52" i="62" s="1"/>
  <c r="J99" i="62"/>
  <c r="I13" i="64" s="1"/>
  <c r="I29" i="64" s="1"/>
  <c r="M97" i="62"/>
  <c r="L15" i="64" s="1"/>
  <c r="L31" i="64" s="1"/>
  <c r="L41" i="64" s="1"/>
  <c r="K96" i="62"/>
  <c r="J16" i="64" s="1"/>
  <c r="J32" i="64" s="1"/>
  <c r="J42" i="64" s="1"/>
  <c r="M98" i="62"/>
  <c r="L14" i="64" s="1"/>
  <c r="L30" i="64" s="1"/>
  <c r="L40" i="64" s="1"/>
  <c r="J96" i="62"/>
  <c r="I16" i="64" s="1"/>
  <c r="I32" i="64" s="1"/>
  <c r="I42" i="64" s="1"/>
  <c r="N96" i="62"/>
  <c r="M16" i="64" s="1"/>
  <c r="M83" i="64" s="1"/>
  <c r="J95" i="62"/>
  <c r="I17" i="64" s="1"/>
  <c r="I33" i="64" s="1"/>
  <c r="J98" i="62"/>
  <c r="I14" i="64" s="1"/>
  <c r="I30" i="64" s="1"/>
  <c r="I81" i="64" s="1"/>
  <c r="N99" i="62"/>
  <c r="M13" i="64" s="1"/>
  <c r="M79" i="64" s="1"/>
  <c r="M95" i="62"/>
  <c r="E16" i="67" s="1"/>
  <c r="M96" i="62"/>
  <c r="L16" i="64" s="1"/>
  <c r="L32" i="64" s="1"/>
  <c r="L83" i="64" s="1"/>
  <c r="N97" i="62"/>
  <c r="M15" i="64" s="1"/>
  <c r="M31" i="64" s="1"/>
  <c r="M41" i="64" s="1"/>
  <c r="L95" i="62"/>
  <c r="K17" i="64" s="1"/>
  <c r="K33" i="64" s="1"/>
  <c r="K95" i="62"/>
  <c r="C16" i="67" s="1"/>
  <c r="L57" i="62"/>
  <c r="K99" i="62"/>
  <c r="J13" i="64" s="1"/>
  <c r="J29" i="64" s="1"/>
  <c r="J80" i="64" s="1"/>
  <c r="L96" i="62"/>
  <c r="K16" i="64" s="1"/>
  <c r="K32" i="64" s="1"/>
  <c r="K42" i="64" s="1"/>
  <c r="L97" i="62"/>
  <c r="K15" i="64" s="1"/>
  <c r="K31" i="64" s="1"/>
  <c r="K82" i="64" s="1"/>
  <c r="K98" i="62"/>
  <c r="J14" i="64" s="1"/>
  <c r="J30" i="64" s="1"/>
  <c r="J40" i="64" s="1"/>
  <c r="G20" i="62"/>
  <c r="I34" i="62" s="1"/>
  <c r="L99" i="62"/>
  <c r="K13" i="64" s="1"/>
  <c r="K29" i="64" s="1"/>
  <c r="K80" i="64" s="1"/>
  <c r="J10" i="62"/>
  <c r="H20" i="62"/>
  <c r="H38" i="62" s="1"/>
  <c r="N65" i="62" s="1"/>
  <c r="H51" i="62"/>
  <c r="K85" i="62" s="1"/>
  <c r="H52" i="62"/>
  <c r="L85" i="62" s="1"/>
  <c r="H55" i="62"/>
  <c r="O85" i="62" s="1"/>
  <c r="H54" i="62"/>
  <c r="N85" i="62" s="1"/>
  <c r="H53" i="62"/>
  <c r="M85" i="62" s="1"/>
  <c r="H50" i="62"/>
  <c r="K55" i="62"/>
  <c r="K51" i="62"/>
  <c r="K53" i="62"/>
  <c r="K54" i="62"/>
  <c r="K50" i="62"/>
  <c r="K52" i="62"/>
  <c r="I53" i="62"/>
  <c r="I55" i="62"/>
  <c r="I51" i="62"/>
  <c r="I54" i="62"/>
  <c r="I52" i="62"/>
  <c r="I50" i="62"/>
  <c r="K38" i="62"/>
  <c r="J39" i="62"/>
  <c r="J37" i="62"/>
  <c r="J34" i="62"/>
  <c r="J38" i="62"/>
  <c r="J35" i="62"/>
  <c r="J36" i="62"/>
  <c r="G16" i="67"/>
  <c r="N17" i="64"/>
  <c r="N33" i="64" s="1"/>
  <c r="N72" i="64" s="1"/>
  <c r="N39" i="64"/>
  <c r="J41" i="64"/>
  <c r="J82" i="64"/>
  <c r="L39" i="64"/>
  <c r="L80" i="64"/>
  <c r="L79" i="64"/>
  <c r="E15" i="71" s="1"/>
  <c r="E20" i="71" s="1"/>
  <c r="M17" i="64"/>
  <c r="F16" i="67"/>
  <c r="L82" i="64"/>
  <c r="I41" i="64"/>
  <c r="I82" i="64"/>
  <c r="M81" i="64"/>
  <c r="M30" i="64"/>
  <c r="N40" i="64"/>
  <c r="K81" i="64"/>
  <c r="K40" i="64"/>
  <c r="N42" i="64"/>
  <c r="K37" i="62" l="1"/>
  <c r="K35" i="62"/>
  <c r="J55" i="62"/>
  <c r="K34" i="62"/>
  <c r="J50" i="62"/>
  <c r="K39" i="62"/>
  <c r="O74" i="62" s="1"/>
  <c r="J23" i="62"/>
  <c r="J22" i="62" s="1"/>
  <c r="J54" i="62"/>
  <c r="N88" i="62" s="1"/>
  <c r="J51" i="62"/>
  <c r="J53" i="62"/>
  <c r="H37" i="62"/>
  <c r="M65" i="62" s="1"/>
  <c r="J75" i="62"/>
  <c r="B17" i="64" s="1"/>
  <c r="B33" i="64" s="1"/>
  <c r="J76" i="62"/>
  <c r="B16" i="64" s="1"/>
  <c r="B32" i="64" s="1"/>
  <c r="B83" i="64" s="1"/>
  <c r="B15" i="66" s="1"/>
  <c r="J77" i="62"/>
  <c r="B15" i="64" s="1"/>
  <c r="B31" i="64" s="1"/>
  <c r="B82" i="64" s="1"/>
  <c r="B14" i="66" s="1"/>
  <c r="L41" i="62"/>
  <c r="J78" i="62"/>
  <c r="B14" i="64" s="1"/>
  <c r="B30" i="64" s="1"/>
  <c r="B81" i="64" s="1"/>
  <c r="B53" i="72" s="1"/>
  <c r="J79" i="62"/>
  <c r="B13" i="64" s="1"/>
  <c r="H35" i="62"/>
  <c r="K65" i="62" s="1"/>
  <c r="M76" i="62"/>
  <c r="E16" i="64" s="1"/>
  <c r="E32" i="64" s="1"/>
  <c r="M79" i="62"/>
  <c r="E13" i="64" s="1"/>
  <c r="E29" i="64" s="1"/>
  <c r="M77" i="62"/>
  <c r="E15" i="64" s="1"/>
  <c r="E31" i="64" s="1"/>
  <c r="M78" i="62"/>
  <c r="E14" i="64" s="1"/>
  <c r="E30" i="64" s="1"/>
  <c r="M75" i="62"/>
  <c r="E17" i="64" s="1"/>
  <c r="E33" i="64" s="1"/>
  <c r="H36" i="62"/>
  <c r="L65" i="62" s="1"/>
  <c r="K75" i="62"/>
  <c r="C17" i="64" s="1"/>
  <c r="C33" i="64" s="1"/>
  <c r="K79" i="62"/>
  <c r="C13" i="64" s="1"/>
  <c r="C29" i="64" s="1"/>
  <c r="K78" i="62"/>
  <c r="C14" i="64" s="1"/>
  <c r="C30" i="64" s="1"/>
  <c r="K77" i="62"/>
  <c r="C15" i="64" s="1"/>
  <c r="C31" i="64" s="1"/>
  <c r="K76" i="62"/>
  <c r="C16" i="64" s="1"/>
  <c r="C32" i="64" s="1"/>
  <c r="H34" i="62"/>
  <c r="J65" i="62" s="1"/>
  <c r="N77" i="62"/>
  <c r="F15" i="64" s="1"/>
  <c r="N75" i="62"/>
  <c r="F17" i="64" s="1"/>
  <c r="N76" i="62"/>
  <c r="F16" i="64" s="1"/>
  <c r="N78" i="62"/>
  <c r="F14" i="64" s="1"/>
  <c r="N79" i="62"/>
  <c r="F13" i="64" s="1"/>
  <c r="H39" i="62"/>
  <c r="O65" i="62" s="1"/>
  <c r="O76" i="62"/>
  <c r="G16" i="64" s="1"/>
  <c r="G32" i="64" s="1"/>
  <c r="O77" i="62"/>
  <c r="G15" i="64" s="1"/>
  <c r="G31" i="64" s="1"/>
  <c r="O79" i="62"/>
  <c r="G13" i="64" s="1"/>
  <c r="G29" i="64" s="1"/>
  <c r="O75" i="62"/>
  <c r="G17" i="64" s="1"/>
  <c r="G33" i="64" s="1"/>
  <c r="O78" i="62"/>
  <c r="G14" i="64" s="1"/>
  <c r="G30" i="64" s="1"/>
  <c r="L76" i="62"/>
  <c r="D16" i="64" s="1"/>
  <c r="D32" i="64" s="1"/>
  <c r="L75" i="62"/>
  <c r="D17" i="64" s="1"/>
  <c r="D33" i="64" s="1"/>
  <c r="L78" i="62"/>
  <c r="D14" i="64" s="1"/>
  <c r="D30" i="64" s="1"/>
  <c r="L77" i="62"/>
  <c r="D15" i="64" s="1"/>
  <c r="D31" i="64" s="1"/>
  <c r="L79" i="62"/>
  <c r="D13" i="64" s="1"/>
  <c r="D29" i="64" s="1"/>
  <c r="J83" i="64"/>
  <c r="I83" i="64"/>
  <c r="I72" i="64"/>
  <c r="L81" i="64"/>
  <c r="I40" i="64"/>
  <c r="M82" i="64"/>
  <c r="L42" i="64"/>
  <c r="K41" i="64"/>
  <c r="M32" i="64"/>
  <c r="M42" i="64" s="1"/>
  <c r="L17" i="64"/>
  <c r="L33" i="64" s="1"/>
  <c r="L69" i="64" s="1"/>
  <c r="D16" i="67"/>
  <c r="D32" i="67" s="1"/>
  <c r="K79" i="64"/>
  <c r="D15" i="71" s="1"/>
  <c r="D20" i="71" s="1"/>
  <c r="D34" i="71" s="1"/>
  <c r="M80" i="64"/>
  <c r="M29" i="64"/>
  <c r="M39" i="64" s="1"/>
  <c r="K39" i="64"/>
  <c r="K83" i="64"/>
  <c r="B16" i="67"/>
  <c r="B41" i="67" s="1"/>
  <c r="J17" i="64"/>
  <c r="J33" i="64" s="1"/>
  <c r="J72" i="64" s="1"/>
  <c r="J81" i="64"/>
  <c r="K71" i="64"/>
  <c r="J79" i="64"/>
  <c r="C15" i="71" s="1"/>
  <c r="C20" i="71" s="1"/>
  <c r="C34" i="71" s="1"/>
  <c r="J39" i="64"/>
  <c r="J20" i="62"/>
  <c r="J19" i="62" s="1"/>
  <c r="I38" i="62"/>
  <c r="N67" i="62" s="1"/>
  <c r="I39" i="62"/>
  <c r="O67" i="62" s="1"/>
  <c r="I36" i="62"/>
  <c r="I37" i="62"/>
  <c r="M67" i="62" s="1"/>
  <c r="I35" i="62"/>
  <c r="K66" i="62" s="1"/>
  <c r="G32" i="67"/>
  <c r="I71" i="64"/>
  <c r="M73" i="62"/>
  <c r="M74" i="62"/>
  <c r="M72" i="62"/>
  <c r="M71" i="62"/>
  <c r="E16" i="65" s="1"/>
  <c r="E32" i="65" s="1"/>
  <c r="O89" i="62"/>
  <c r="O90" i="62"/>
  <c r="O88" i="62"/>
  <c r="L88" i="62"/>
  <c r="L90" i="62"/>
  <c r="L89" i="62"/>
  <c r="N93" i="62"/>
  <c r="N92" i="62"/>
  <c r="N91" i="62"/>
  <c r="N94" i="62"/>
  <c r="J68" i="62"/>
  <c r="J69" i="62"/>
  <c r="J41" i="62"/>
  <c r="J70" i="62"/>
  <c r="O71" i="62"/>
  <c r="G16" i="65" s="1"/>
  <c r="G32" i="65" s="1"/>
  <c r="O72" i="62"/>
  <c r="K74" i="62"/>
  <c r="K73" i="62"/>
  <c r="K72" i="62"/>
  <c r="K71" i="62"/>
  <c r="C16" i="65" s="1"/>
  <c r="C32" i="65" s="1"/>
  <c r="C83" i="65" s="1"/>
  <c r="J87" i="62"/>
  <c r="I57" i="62"/>
  <c r="J86" i="62"/>
  <c r="O86" i="62"/>
  <c r="O87" i="62"/>
  <c r="J89" i="62"/>
  <c r="J88" i="62"/>
  <c r="J90" i="62"/>
  <c r="M94" i="62"/>
  <c r="M91" i="62"/>
  <c r="M93" i="62"/>
  <c r="M92" i="62"/>
  <c r="G12" i="67"/>
  <c r="N70" i="62"/>
  <c r="N69" i="62"/>
  <c r="N68" i="62"/>
  <c r="K86" i="62"/>
  <c r="K87" i="62"/>
  <c r="F12" i="67"/>
  <c r="L68" i="62"/>
  <c r="L69" i="62"/>
  <c r="L70" i="62"/>
  <c r="M68" i="62"/>
  <c r="M70" i="62"/>
  <c r="M69" i="62"/>
  <c r="L72" i="62"/>
  <c r="L73" i="62"/>
  <c r="L74" i="62"/>
  <c r="L71" i="62"/>
  <c r="D16" i="65" s="1"/>
  <c r="D32" i="65" s="1"/>
  <c r="J72" i="62"/>
  <c r="J71" i="62"/>
  <c r="B16" i="65" s="1"/>
  <c r="K41" i="62"/>
  <c r="J73" i="62"/>
  <c r="J74" i="62"/>
  <c r="L87" i="62"/>
  <c r="L86" i="62"/>
  <c r="M86" i="62"/>
  <c r="M87" i="62"/>
  <c r="K89" i="62"/>
  <c r="K90" i="62"/>
  <c r="K88" i="62"/>
  <c r="L91" i="62"/>
  <c r="L93" i="62"/>
  <c r="L92" i="62"/>
  <c r="L94" i="62"/>
  <c r="K91" i="62"/>
  <c r="K93" i="62"/>
  <c r="K94" i="62"/>
  <c r="K92" i="62"/>
  <c r="J67" i="62"/>
  <c r="J66" i="62"/>
  <c r="H57" i="62"/>
  <c r="J85" i="62"/>
  <c r="D12" i="67"/>
  <c r="N69" i="64"/>
  <c r="K69" i="62"/>
  <c r="K70" i="62"/>
  <c r="K68" i="62"/>
  <c r="O69" i="62"/>
  <c r="O68" i="62"/>
  <c r="O70" i="62"/>
  <c r="N74" i="62"/>
  <c r="N73" i="62"/>
  <c r="N71" i="62"/>
  <c r="F16" i="65" s="1"/>
  <c r="N72" i="62"/>
  <c r="N87" i="62"/>
  <c r="N86" i="62"/>
  <c r="M88" i="62"/>
  <c r="M90" i="62"/>
  <c r="M89" i="62"/>
  <c r="J93" i="62"/>
  <c r="K57" i="62"/>
  <c r="J94" i="62"/>
  <c r="J92" i="62"/>
  <c r="J91" i="62"/>
  <c r="O94" i="62"/>
  <c r="O91" i="62"/>
  <c r="O92" i="62"/>
  <c r="O93" i="62"/>
  <c r="E12" i="67"/>
  <c r="C12" i="67"/>
  <c r="N70" i="64"/>
  <c r="F41" i="67"/>
  <c r="F32" i="67"/>
  <c r="M33" i="64"/>
  <c r="M70" i="64" s="1"/>
  <c r="M84" i="64"/>
  <c r="K69" i="64"/>
  <c r="K43" i="64"/>
  <c r="K84" i="64"/>
  <c r="K73" i="64"/>
  <c r="E34" i="71"/>
  <c r="E35" i="71"/>
  <c r="E36" i="71"/>
  <c r="I80" i="64"/>
  <c r="I69" i="64"/>
  <c r="I39" i="64"/>
  <c r="I79" i="64"/>
  <c r="L53" i="72"/>
  <c r="N81" i="64"/>
  <c r="M13" i="66"/>
  <c r="K12" i="66"/>
  <c r="J19" i="72"/>
  <c r="L12" i="66"/>
  <c r="K19" i="72"/>
  <c r="M40" i="64"/>
  <c r="N83" i="64"/>
  <c r="M15" i="66"/>
  <c r="I13" i="66"/>
  <c r="H53" i="72"/>
  <c r="J14" i="66"/>
  <c r="I19" i="72"/>
  <c r="J12" i="66"/>
  <c r="L14" i="66"/>
  <c r="L15" i="66"/>
  <c r="E41" i="67"/>
  <c r="E32" i="67"/>
  <c r="N79" i="64"/>
  <c r="G15" i="71" s="1"/>
  <c r="G20" i="71" s="1"/>
  <c r="F15" i="71"/>
  <c r="F20" i="71" s="1"/>
  <c r="I70" i="64"/>
  <c r="I84" i="64"/>
  <c r="I73" i="64"/>
  <c r="I43" i="64"/>
  <c r="N71" i="64"/>
  <c r="N43" i="64"/>
  <c r="N73" i="64"/>
  <c r="J53" i="72"/>
  <c r="K13" i="66"/>
  <c r="C41" i="67"/>
  <c r="C32" i="67"/>
  <c r="K70" i="64"/>
  <c r="I14" i="66"/>
  <c r="K14" i="66"/>
  <c r="K72" i="64"/>
  <c r="J15" i="66" l="1"/>
  <c r="K15" i="66"/>
  <c r="I15" i="66"/>
  <c r="M14" i="66"/>
  <c r="M12" i="66"/>
  <c r="K53" i="72"/>
  <c r="J13" i="66"/>
  <c r="N90" i="62"/>
  <c r="M13" i="65" s="1"/>
  <c r="M29" i="65" s="1"/>
  <c r="N89" i="62"/>
  <c r="O73" i="62"/>
  <c r="B70" i="64"/>
  <c r="J57" i="62"/>
  <c r="B72" i="64"/>
  <c r="B71" i="64"/>
  <c r="B40" i="64"/>
  <c r="B13" i="66"/>
  <c r="B41" i="64"/>
  <c r="B42" i="64"/>
  <c r="F30" i="64"/>
  <c r="F81" i="64"/>
  <c r="F83" i="64"/>
  <c r="F32" i="64"/>
  <c r="B80" i="64"/>
  <c r="B29" i="64"/>
  <c r="G43" i="64"/>
  <c r="G73" i="64"/>
  <c r="F33" i="64"/>
  <c r="F84" i="64"/>
  <c r="D83" i="64"/>
  <c r="D15" i="66" s="1"/>
  <c r="D42" i="64"/>
  <c r="D72" i="64"/>
  <c r="G40" i="64"/>
  <c r="G70" i="64"/>
  <c r="C84" i="64"/>
  <c r="C73" i="64"/>
  <c r="C43" i="64"/>
  <c r="H41" i="62"/>
  <c r="G39" i="64"/>
  <c r="G69" i="64"/>
  <c r="F31" i="64"/>
  <c r="F82" i="64"/>
  <c r="E73" i="64"/>
  <c r="E43" i="64"/>
  <c r="E84" i="64"/>
  <c r="D39" i="64"/>
  <c r="D80" i="64"/>
  <c r="D69" i="64"/>
  <c r="G71" i="64"/>
  <c r="G41" i="64"/>
  <c r="E81" i="64"/>
  <c r="E40" i="64"/>
  <c r="E70" i="64"/>
  <c r="D41" i="64"/>
  <c r="D71" i="64"/>
  <c r="D82" i="64"/>
  <c r="D14" i="66" s="1"/>
  <c r="G42" i="64"/>
  <c r="G72" i="64"/>
  <c r="C83" i="64"/>
  <c r="C15" i="66" s="1"/>
  <c r="C72" i="64"/>
  <c r="C42" i="64"/>
  <c r="E71" i="64"/>
  <c r="E82" i="64"/>
  <c r="E14" i="66" s="1"/>
  <c r="E41" i="64"/>
  <c r="D40" i="64"/>
  <c r="D81" i="64"/>
  <c r="D70" i="64"/>
  <c r="C82" i="64"/>
  <c r="C71" i="64"/>
  <c r="C41" i="64"/>
  <c r="E80" i="64"/>
  <c r="E69" i="64"/>
  <c r="E39" i="64"/>
  <c r="B43" i="64"/>
  <c r="B84" i="64"/>
  <c r="B73" i="64"/>
  <c r="C39" i="64"/>
  <c r="C69" i="64"/>
  <c r="D43" i="64"/>
  <c r="D84" i="64"/>
  <c r="D73" i="64"/>
  <c r="F80" i="64"/>
  <c r="F29" i="64"/>
  <c r="C81" i="64"/>
  <c r="C53" i="72" s="1"/>
  <c r="C40" i="64"/>
  <c r="C70" i="64"/>
  <c r="E42" i="64"/>
  <c r="E72" i="64"/>
  <c r="E83" i="64"/>
  <c r="E15" i="66" s="1"/>
  <c r="L13" i="66"/>
  <c r="N82" i="64"/>
  <c r="N80" i="64"/>
  <c r="C35" i="71"/>
  <c r="L19" i="72"/>
  <c r="C36" i="71"/>
  <c r="B32" i="67"/>
  <c r="O66" i="62"/>
  <c r="G14" i="65" s="1"/>
  <c r="G30" i="65" s="1"/>
  <c r="L43" i="64"/>
  <c r="L84" i="64"/>
  <c r="J84" i="64"/>
  <c r="L73" i="64"/>
  <c r="C15" i="65"/>
  <c r="C31" i="65" s="1"/>
  <c r="C71" i="65" s="1"/>
  <c r="L71" i="64"/>
  <c r="L70" i="64"/>
  <c r="L72" i="64"/>
  <c r="D41" i="67"/>
  <c r="M66" i="62"/>
  <c r="E14" i="65" s="1"/>
  <c r="E30" i="65" s="1"/>
  <c r="E70" i="65" s="1"/>
  <c r="I53" i="72"/>
  <c r="D35" i="71"/>
  <c r="D36" i="71"/>
  <c r="M69" i="64"/>
  <c r="J43" i="64"/>
  <c r="J69" i="64"/>
  <c r="J70" i="64"/>
  <c r="J73" i="64"/>
  <c r="J71" i="64"/>
  <c r="N18" i="64"/>
  <c r="K67" i="62"/>
  <c r="C13" i="65" s="1"/>
  <c r="C29" i="65" s="1"/>
  <c r="C69" i="65" s="1"/>
  <c r="G13" i="65"/>
  <c r="G29" i="65" s="1"/>
  <c r="G39" i="65" s="1"/>
  <c r="N66" i="62"/>
  <c r="F14" i="65" s="1"/>
  <c r="L13" i="65"/>
  <c r="L29" i="65" s="1"/>
  <c r="L80" i="65" s="1"/>
  <c r="I41" i="62"/>
  <c r="L66" i="62"/>
  <c r="D14" i="65" s="1"/>
  <c r="D30" i="65" s="1"/>
  <c r="L67" i="62"/>
  <c r="D13" i="65" s="1"/>
  <c r="D29" i="65" s="1"/>
  <c r="E13" i="65"/>
  <c r="E29" i="65" s="1"/>
  <c r="E80" i="65" s="1"/>
  <c r="E15" i="65"/>
  <c r="E31" i="65" s="1"/>
  <c r="E71" i="65" s="1"/>
  <c r="G41" i="67"/>
  <c r="J13" i="65"/>
  <c r="J29" i="65" s="1"/>
  <c r="J80" i="65" s="1"/>
  <c r="F13" i="65"/>
  <c r="F29" i="65" s="1"/>
  <c r="K13" i="65"/>
  <c r="K29" i="65" s="1"/>
  <c r="K79" i="65" s="1"/>
  <c r="D16" i="71" s="1"/>
  <c r="D21" i="71" s="1"/>
  <c r="D15" i="65"/>
  <c r="D31" i="65" s="1"/>
  <c r="N13" i="65"/>
  <c r="N29" i="65" s="1"/>
  <c r="B12" i="67"/>
  <c r="I13" i="65"/>
  <c r="C15" i="67"/>
  <c r="J16" i="65"/>
  <c r="J32" i="65" s="1"/>
  <c r="E37" i="67"/>
  <c r="E28" i="67"/>
  <c r="F83" i="65"/>
  <c r="F32" i="65"/>
  <c r="G15" i="65"/>
  <c r="G31" i="65" s="1"/>
  <c r="C14" i="67"/>
  <c r="J15" i="65"/>
  <c r="J31" i="65" s="1"/>
  <c r="E13" i="67"/>
  <c r="L14" i="65"/>
  <c r="L30" i="65" s="1"/>
  <c r="C13" i="67"/>
  <c r="J14" i="65"/>
  <c r="J30" i="65" s="1"/>
  <c r="N14" i="65"/>
  <c r="N30" i="65" s="1"/>
  <c r="G13" i="67"/>
  <c r="G42" i="65"/>
  <c r="G72" i="65"/>
  <c r="B15" i="65"/>
  <c r="N15" i="65"/>
  <c r="N31" i="65" s="1"/>
  <c r="G14" i="67"/>
  <c r="E42" i="65"/>
  <c r="E72" i="65"/>
  <c r="E83" i="65"/>
  <c r="C14" i="65"/>
  <c r="C30" i="65" s="1"/>
  <c r="C81" i="65" s="1"/>
  <c r="G15" i="67"/>
  <c r="N16" i="65"/>
  <c r="N32" i="65" s="1"/>
  <c r="M15" i="65"/>
  <c r="F14" i="67"/>
  <c r="B13" i="65"/>
  <c r="B29" i="65" s="1"/>
  <c r="K14" i="65"/>
  <c r="K30" i="65" s="1"/>
  <c r="D13" i="67"/>
  <c r="D83" i="65"/>
  <c r="D72" i="65"/>
  <c r="D42" i="65"/>
  <c r="L16" i="65"/>
  <c r="L32" i="65" s="1"/>
  <c r="E15" i="67"/>
  <c r="B14" i="67"/>
  <c r="I15" i="65"/>
  <c r="I31" i="65" s="1"/>
  <c r="I14" i="65"/>
  <c r="I30" i="65" s="1"/>
  <c r="B13" i="67"/>
  <c r="C42" i="65"/>
  <c r="C72" i="65"/>
  <c r="I16" i="65"/>
  <c r="I32" i="65" s="1"/>
  <c r="B15" i="67"/>
  <c r="D15" i="67"/>
  <c r="K16" i="65"/>
  <c r="K32" i="65" s="1"/>
  <c r="B32" i="65"/>
  <c r="B83" i="65" s="1"/>
  <c r="D14" i="67"/>
  <c r="K15" i="65"/>
  <c r="K31" i="65" s="1"/>
  <c r="C28" i="67"/>
  <c r="C37" i="67"/>
  <c r="E14" i="67"/>
  <c r="L15" i="65"/>
  <c r="L31" i="65" s="1"/>
  <c r="M14" i="65"/>
  <c r="F13" i="67"/>
  <c r="D37" i="67"/>
  <c r="D28" i="67"/>
  <c r="B14" i="65"/>
  <c r="F28" i="67"/>
  <c r="F37" i="67"/>
  <c r="F15" i="65"/>
  <c r="G37" i="67"/>
  <c r="G28" i="67"/>
  <c r="M16" i="65"/>
  <c r="F15" i="67"/>
  <c r="M72" i="64"/>
  <c r="M53" i="72"/>
  <c r="N13" i="66"/>
  <c r="M16" i="66"/>
  <c r="N84" i="64"/>
  <c r="M71" i="64"/>
  <c r="M73" i="64"/>
  <c r="M43" i="64"/>
  <c r="C92" i="64"/>
  <c r="I12" i="66"/>
  <c r="H19" i="72"/>
  <c r="C14" i="66"/>
  <c r="C94" i="64"/>
  <c r="N15" i="66"/>
  <c r="I16" i="66"/>
  <c r="F35" i="71"/>
  <c r="F36" i="71"/>
  <c r="F34" i="71"/>
  <c r="K16" i="66"/>
  <c r="G36" i="71"/>
  <c r="G35" i="71"/>
  <c r="G34" i="71"/>
  <c r="C90" i="64"/>
  <c r="C59" i="71" s="1"/>
  <c r="B15" i="71"/>
  <c r="B20" i="71" s="1"/>
  <c r="N12" i="66" l="1"/>
  <c r="C93" i="64"/>
  <c r="I38" i="66"/>
  <c r="I79" i="66" s="1"/>
  <c r="K38" i="66"/>
  <c r="M38" i="66"/>
  <c r="M79" i="66" s="1"/>
  <c r="C91" i="64"/>
  <c r="C13" i="66"/>
  <c r="D19" i="72"/>
  <c r="D12" i="66"/>
  <c r="E16" i="66"/>
  <c r="D16" i="66"/>
  <c r="B16" i="66"/>
  <c r="B69" i="64"/>
  <c r="B39" i="64"/>
  <c r="D13" i="66"/>
  <c r="D53" i="72"/>
  <c r="F14" i="66"/>
  <c r="G82" i="64"/>
  <c r="C80" i="64"/>
  <c r="B79" i="64" s="1"/>
  <c r="B19" i="72"/>
  <c r="B12" i="66"/>
  <c r="E53" i="72"/>
  <c r="E13" i="66"/>
  <c r="F71" i="64"/>
  <c r="F41" i="64"/>
  <c r="F16" i="66"/>
  <c r="G84" i="64"/>
  <c r="F72" i="64"/>
  <c r="F42" i="64"/>
  <c r="F73" i="64"/>
  <c r="F43" i="64"/>
  <c r="G83" i="64"/>
  <c r="F15" i="66"/>
  <c r="F69" i="64"/>
  <c r="F39" i="64"/>
  <c r="E19" i="72"/>
  <c r="E12" i="66"/>
  <c r="C16" i="66"/>
  <c r="F53" i="72"/>
  <c r="G81" i="64"/>
  <c r="F13" i="66"/>
  <c r="F19" i="72"/>
  <c r="G80" i="64"/>
  <c r="F12" i="66"/>
  <c r="F70" i="64"/>
  <c r="F40" i="64"/>
  <c r="N14" i="66"/>
  <c r="M19" i="72"/>
  <c r="C25" i="72" s="1"/>
  <c r="J16" i="66"/>
  <c r="L16" i="66"/>
  <c r="L39" i="65"/>
  <c r="E41" i="65"/>
  <c r="G69" i="65"/>
  <c r="C39" i="65"/>
  <c r="K69" i="65"/>
  <c r="C80" i="65"/>
  <c r="E69" i="65"/>
  <c r="L79" i="65"/>
  <c r="E16" i="71" s="1"/>
  <c r="E21" i="71" s="1"/>
  <c r="E39" i="71" s="1"/>
  <c r="E39" i="65"/>
  <c r="D39" i="65"/>
  <c r="D69" i="65"/>
  <c r="D80" i="65"/>
  <c r="D22" i="66" s="1"/>
  <c r="J79" i="65"/>
  <c r="C16" i="71" s="1"/>
  <c r="C21" i="71" s="1"/>
  <c r="C40" i="71" s="1"/>
  <c r="N39" i="65"/>
  <c r="E81" i="65"/>
  <c r="E23" i="66" s="1"/>
  <c r="F80" i="65"/>
  <c r="J39" i="65"/>
  <c r="G31" i="67"/>
  <c r="K39" i="65"/>
  <c r="G30" i="67"/>
  <c r="M80" i="65"/>
  <c r="G29" i="67"/>
  <c r="K80" i="65"/>
  <c r="C41" i="65"/>
  <c r="B69" i="65"/>
  <c r="B42" i="65"/>
  <c r="B72" i="65"/>
  <c r="B31" i="67"/>
  <c r="B40" i="67"/>
  <c r="G40" i="65"/>
  <c r="G70" i="65"/>
  <c r="E40" i="67"/>
  <c r="E31" i="67"/>
  <c r="M82" i="65"/>
  <c r="M31" i="65"/>
  <c r="E54" i="72"/>
  <c r="C38" i="67"/>
  <c r="C29" i="67"/>
  <c r="C39" i="67"/>
  <c r="C30" i="67"/>
  <c r="J42" i="65"/>
  <c r="J72" i="65"/>
  <c r="J83" i="65"/>
  <c r="J22" i="66"/>
  <c r="I20" i="72"/>
  <c r="D40" i="71"/>
  <c r="D38" i="71"/>
  <c r="D39" i="71"/>
  <c r="D71" i="65"/>
  <c r="D41" i="65"/>
  <c r="F38" i="67"/>
  <c r="F29" i="67"/>
  <c r="B25" i="66"/>
  <c r="I83" i="65"/>
  <c r="I72" i="65"/>
  <c r="I42" i="65"/>
  <c r="I40" i="65"/>
  <c r="I70" i="65"/>
  <c r="I81" i="65"/>
  <c r="L42" i="65"/>
  <c r="L83" i="65"/>
  <c r="L72" i="65"/>
  <c r="D25" i="66"/>
  <c r="N72" i="65"/>
  <c r="N42" i="65"/>
  <c r="E25" i="66"/>
  <c r="N71" i="65"/>
  <c r="N41" i="65"/>
  <c r="L40" i="65"/>
  <c r="L70" i="65"/>
  <c r="L81" i="65"/>
  <c r="G41" i="65"/>
  <c r="G71" i="65"/>
  <c r="F81" i="65"/>
  <c r="F30" i="65"/>
  <c r="C31" i="67"/>
  <c r="C40" i="67"/>
  <c r="M39" i="65"/>
  <c r="E22" i="66"/>
  <c r="E20" i="72"/>
  <c r="E30" i="67"/>
  <c r="E39" i="67"/>
  <c r="B29" i="67"/>
  <c r="B38" i="67"/>
  <c r="C95" i="64"/>
  <c r="F31" i="67"/>
  <c r="F40" i="67"/>
  <c r="F31" i="65"/>
  <c r="F82" i="65"/>
  <c r="M81" i="65"/>
  <c r="M30" i="65"/>
  <c r="K41" i="65"/>
  <c r="K71" i="65"/>
  <c r="K82" i="65"/>
  <c r="K72" i="65"/>
  <c r="K42" i="65"/>
  <c r="K83" i="65"/>
  <c r="I71" i="65"/>
  <c r="I82" i="65"/>
  <c r="I41" i="65"/>
  <c r="D70" i="65"/>
  <c r="D81" i="65"/>
  <c r="D40" i="65"/>
  <c r="D29" i="67"/>
  <c r="D38" i="67"/>
  <c r="B80" i="65"/>
  <c r="B39" i="65"/>
  <c r="L69" i="65"/>
  <c r="B82" i="65"/>
  <c r="B31" i="65"/>
  <c r="N40" i="65"/>
  <c r="N70" i="65"/>
  <c r="E29" i="67"/>
  <c r="E38" i="67"/>
  <c r="F42" i="65"/>
  <c r="F72" i="65"/>
  <c r="N18" i="65"/>
  <c r="I29" i="65"/>
  <c r="F39" i="65"/>
  <c r="F69" i="65"/>
  <c r="J69" i="65"/>
  <c r="N69" i="65"/>
  <c r="M83" i="65"/>
  <c r="M32" i="65"/>
  <c r="B30" i="65"/>
  <c r="B81" i="65" s="1"/>
  <c r="L82" i="65"/>
  <c r="L71" i="65"/>
  <c r="L41" i="65"/>
  <c r="D30" i="67"/>
  <c r="D39" i="67"/>
  <c r="D31" i="67"/>
  <c r="D40" i="67"/>
  <c r="B30" i="67"/>
  <c r="B39" i="67"/>
  <c r="K40" i="65"/>
  <c r="K81" i="65"/>
  <c r="K70" i="65"/>
  <c r="F39" i="67"/>
  <c r="F30" i="67"/>
  <c r="C70" i="65"/>
  <c r="C40" i="65"/>
  <c r="E40" i="65"/>
  <c r="K20" i="72"/>
  <c r="L22" i="66"/>
  <c r="J81" i="65"/>
  <c r="J70" i="65"/>
  <c r="J40" i="65"/>
  <c r="J71" i="65"/>
  <c r="J82" i="65"/>
  <c r="J41" i="65"/>
  <c r="F25" i="66"/>
  <c r="G83" i="65"/>
  <c r="B28" i="67"/>
  <c r="B37" i="67"/>
  <c r="C59" i="72"/>
  <c r="K79" i="66"/>
  <c r="B35" i="71"/>
  <c r="I35" i="71" s="1"/>
  <c r="B34" i="71"/>
  <c r="I34" i="71" s="1"/>
  <c r="B36" i="71"/>
  <c r="I36" i="71" s="1"/>
  <c r="I20" i="71"/>
  <c r="N16" i="66"/>
  <c r="J20" i="72" l="1"/>
  <c r="J21" i="72" s="1"/>
  <c r="L34" i="66"/>
  <c r="L75" i="66" s="1"/>
  <c r="L38" i="66"/>
  <c r="F38" i="66"/>
  <c r="B38" i="66"/>
  <c r="B79" i="66" s="1"/>
  <c r="J38" i="66"/>
  <c r="J49" i="66" s="1"/>
  <c r="C38" i="66"/>
  <c r="C79" i="66" s="1"/>
  <c r="N38" i="66"/>
  <c r="M49" i="66" s="1"/>
  <c r="E38" i="66"/>
  <c r="E79" i="66" s="1"/>
  <c r="D37" i="66"/>
  <c r="E37" i="66"/>
  <c r="D38" i="66"/>
  <c r="J34" i="66"/>
  <c r="B37" i="66"/>
  <c r="D34" i="66"/>
  <c r="F37" i="66"/>
  <c r="E34" i="66"/>
  <c r="E35" i="66"/>
  <c r="B92" i="64"/>
  <c r="D92" i="64" s="1"/>
  <c r="G13" i="66"/>
  <c r="G53" i="72"/>
  <c r="B59" i="72" s="1"/>
  <c r="D59" i="72" s="1"/>
  <c r="E59" i="72" s="1"/>
  <c r="B93" i="64"/>
  <c r="D93" i="64" s="1"/>
  <c r="B103" i="66" s="1"/>
  <c r="G14" i="66"/>
  <c r="G19" i="72"/>
  <c r="C79" i="64"/>
  <c r="G12" i="66"/>
  <c r="D79" i="66"/>
  <c r="F79" i="66"/>
  <c r="B94" i="64"/>
  <c r="D94" i="64" s="1"/>
  <c r="G15" i="66"/>
  <c r="B95" i="64"/>
  <c r="D95" i="64" s="1"/>
  <c r="E95" i="64" s="1"/>
  <c r="G16" i="66"/>
  <c r="C19" i="72"/>
  <c r="C12" i="66"/>
  <c r="B91" i="64"/>
  <c r="D91" i="64" s="1"/>
  <c r="L79" i="66"/>
  <c r="L20" i="72"/>
  <c r="L21" i="72" s="1"/>
  <c r="D24" i="66"/>
  <c r="C20" i="72"/>
  <c r="C22" i="66"/>
  <c r="E40" i="71"/>
  <c r="D20" i="72"/>
  <c r="D21" i="72" s="1"/>
  <c r="C39" i="71"/>
  <c r="E38" i="71"/>
  <c r="C38" i="71"/>
  <c r="C92" i="66"/>
  <c r="C97" i="64"/>
  <c r="M22" i="66"/>
  <c r="N80" i="65"/>
  <c r="M79" i="65"/>
  <c r="N79" i="65" s="1"/>
  <c r="G16" i="71" s="1"/>
  <c r="G21" i="71" s="1"/>
  <c r="F22" i="66"/>
  <c r="F20" i="72"/>
  <c r="G80" i="65"/>
  <c r="G40" i="67"/>
  <c r="E78" i="66"/>
  <c r="G38" i="67"/>
  <c r="D50" i="71"/>
  <c r="B94" i="65"/>
  <c r="K21" i="72"/>
  <c r="I21" i="72"/>
  <c r="C50" i="71"/>
  <c r="G39" i="67"/>
  <c r="K22" i="66"/>
  <c r="I39" i="65"/>
  <c r="I69" i="65"/>
  <c r="I80" i="65"/>
  <c r="I79" i="65"/>
  <c r="B71" i="65"/>
  <c r="B41" i="65"/>
  <c r="G82" i="65"/>
  <c r="F24" i="66"/>
  <c r="J24" i="66"/>
  <c r="J23" i="66"/>
  <c r="I54" i="72"/>
  <c r="J54" i="72"/>
  <c r="K23" i="66"/>
  <c r="B23" i="66"/>
  <c r="B54" i="72"/>
  <c r="C82" i="65"/>
  <c r="B24" i="66"/>
  <c r="I24" i="66"/>
  <c r="M70" i="65"/>
  <c r="M40" i="65"/>
  <c r="F71" i="65"/>
  <c r="F41" i="65"/>
  <c r="E21" i="72"/>
  <c r="F40" i="65"/>
  <c r="F70" i="65"/>
  <c r="L23" i="66"/>
  <c r="K54" i="72"/>
  <c r="L25" i="66"/>
  <c r="M41" i="65"/>
  <c r="M71" i="65"/>
  <c r="I25" i="66"/>
  <c r="J25" i="66"/>
  <c r="E55" i="72"/>
  <c r="G25" i="66"/>
  <c r="M42" i="65"/>
  <c r="M72" i="65"/>
  <c r="B20" i="72"/>
  <c r="B22" i="66"/>
  <c r="B79" i="65"/>
  <c r="D54" i="72"/>
  <c r="D23" i="66"/>
  <c r="K24" i="66"/>
  <c r="M23" i="66"/>
  <c r="N81" i="65"/>
  <c r="L54" i="72"/>
  <c r="E24" i="66"/>
  <c r="F23" i="66"/>
  <c r="F54" i="72"/>
  <c r="G81" i="65"/>
  <c r="C25" i="66"/>
  <c r="M24" i="66"/>
  <c r="N82" i="65"/>
  <c r="B70" i="65"/>
  <c r="B40" i="65"/>
  <c r="L24" i="66"/>
  <c r="M25" i="66"/>
  <c r="N83" i="65"/>
  <c r="K25" i="66"/>
  <c r="M69" i="65"/>
  <c r="H54" i="72"/>
  <c r="I23" i="66"/>
  <c r="B50" i="71"/>
  <c r="I33" i="71"/>
  <c r="B104" i="66"/>
  <c r="I49" i="66" l="1"/>
  <c r="N49" i="66"/>
  <c r="N79" i="66"/>
  <c r="K49" i="66"/>
  <c r="L49" i="66"/>
  <c r="D78" i="66"/>
  <c r="M20" i="72"/>
  <c r="M21" i="72" s="1"/>
  <c r="M37" i="66"/>
  <c r="M78" i="66" s="1"/>
  <c r="C37" i="66"/>
  <c r="C78" i="66" s="1"/>
  <c r="J36" i="66"/>
  <c r="J75" i="66"/>
  <c r="F78" i="66"/>
  <c r="J37" i="66"/>
  <c r="J78" i="66" s="1"/>
  <c r="D36" i="66"/>
  <c r="D77" i="66" s="1"/>
  <c r="J79" i="66"/>
  <c r="E36" i="66"/>
  <c r="E77" i="66" s="1"/>
  <c r="K36" i="66"/>
  <c r="K77" i="66" s="1"/>
  <c r="B34" i="66"/>
  <c r="I37" i="66"/>
  <c r="L37" i="66"/>
  <c r="L78" i="66" s="1"/>
  <c r="I36" i="66"/>
  <c r="I77" i="66" s="1"/>
  <c r="K34" i="66"/>
  <c r="K75" i="66" s="1"/>
  <c r="B35" i="66"/>
  <c r="B76" i="66" s="1"/>
  <c r="F36" i="66"/>
  <c r="G38" i="66"/>
  <c r="B49" i="66" s="1"/>
  <c r="L35" i="66"/>
  <c r="K35" i="66"/>
  <c r="K37" i="66"/>
  <c r="B78" i="66"/>
  <c r="M34" i="66"/>
  <c r="M75" i="66" s="1"/>
  <c r="F35" i="66"/>
  <c r="F76" i="66" s="1"/>
  <c r="M35" i="66"/>
  <c r="M76" i="66" s="1"/>
  <c r="F34" i="66"/>
  <c r="L36" i="66"/>
  <c r="I35" i="66"/>
  <c r="M36" i="66"/>
  <c r="M77" i="66" s="1"/>
  <c r="D35" i="66"/>
  <c r="B36" i="66"/>
  <c r="B77" i="66" s="1"/>
  <c r="J35" i="66"/>
  <c r="J76" i="66" s="1"/>
  <c r="E75" i="66"/>
  <c r="B90" i="64"/>
  <c r="B97" i="64" s="1"/>
  <c r="D97" i="64" s="1"/>
  <c r="C34" i="66"/>
  <c r="G37" i="66"/>
  <c r="E94" i="64"/>
  <c r="B102" i="66"/>
  <c r="B101" i="66"/>
  <c r="E93" i="64"/>
  <c r="E92" i="64"/>
  <c r="B25" i="72"/>
  <c r="D25" i="72" s="1"/>
  <c r="B32" i="72" s="1"/>
  <c r="E91" i="64"/>
  <c r="D49" i="66"/>
  <c r="B92" i="66"/>
  <c r="C21" i="72"/>
  <c r="D75" i="66"/>
  <c r="E76" i="66"/>
  <c r="J92" i="66"/>
  <c r="B105" i="66"/>
  <c r="N22" i="66"/>
  <c r="F16" i="71"/>
  <c r="F21" i="71" s="1"/>
  <c r="F40" i="71" s="1"/>
  <c r="G22" i="66"/>
  <c r="G20" i="72"/>
  <c r="B91" i="65"/>
  <c r="B88" i="66" s="1"/>
  <c r="C79" i="65"/>
  <c r="F21" i="72"/>
  <c r="B91" i="66"/>
  <c r="L77" i="66"/>
  <c r="D55" i="72"/>
  <c r="L55" i="72"/>
  <c r="I55" i="72"/>
  <c r="I76" i="66"/>
  <c r="H55" i="72"/>
  <c r="K55" i="72"/>
  <c r="B93" i="65"/>
  <c r="B90" i="66" s="1"/>
  <c r="J55" i="72"/>
  <c r="B92" i="65"/>
  <c r="B89" i="66" s="1"/>
  <c r="N25" i="66"/>
  <c r="N24" i="66"/>
  <c r="C94" i="65"/>
  <c r="J77" i="66"/>
  <c r="K78" i="66"/>
  <c r="G54" i="72"/>
  <c r="G23" i="66"/>
  <c r="B21" i="72"/>
  <c r="I78" i="66"/>
  <c r="G38" i="71"/>
  <c r="G40" i="71"/>
  <c r="G39" i="71"/>
  <c r="B55" i="72"/>
  <c r="G24" i="66"/>
  <c r="H20" i="72"/>
  <c r="C91" i="65"/>
  <c r="I22" i="66"/>
  <c r="C92" i="65"/>
  <c r="N23" i="66"/>
  <c r="M54" i="72"/>
  <c r="B16" i="71"/>
  <c r="B21" i="71" s="1"/>
  <c r="C90" i="65"/>
  <c r="F55" i="72"/>
  <c r="K76" i="66"/>
  <c r="C93" i="65"/>
  <c r="L76" i="66"/>
  <c r="C24" i="66"/>
  <c r="C23" i="66"/>
  <c r="C54" i="72"/>
  <c r="C66" i="72"/>
  <c r="B66" i="72"/>
  <c r="E49" i="66" l="1"/>
  <c r="G49" i="66"/>
  <c r="B59" i="71"/>
  <c r="D59" i="71" s="1"/>
  <c r="E59" i="71" s="1"/>
  <c r="F49" i="66"/>
  <c r="G79" i="66"/>
  <c r="D90" i="64"/>
  <c r="E90" i="64" s="1"/>
  <c r="C49" i="66"/>
  <c r="N36" i="66"/>
  <c r="N47" i="66" s="1"/>
  <c r="N35" i="66"/>
  <c r="G78" i="66"/>
  <c r="C75" i="66"/>
  <c r="C35" i="66"/>
  <c r="G48" i="66"/>
  <c r="G35" i="66"/>
  <c r="D46" i="66" s="1"/>
  <c r="G34" i="66"/>
  <c r="D45" i="66" s="1"/>
  <c r="N37" i="66"/>
  <c r="N48" i="66" s="1"/>
  <c r="F75" i="66"/>
  <c r="N34" i="66"/>
  <c r="J45" i="66" s="1"/>
  <c r="E25" i="72"/>
  <c r="G36" i="66"/>
  <c r="D48" i="66"/>
  <c r="C36" i="66"/>
  <c r="B75" i="66"/>
  <c r="F48" i="66"/>
  <c r="C48" i="66"/>
  <c r="C32" i="72"/>
  <c r="J37" i="72" s="1"/>
  <c r="D76" i="66"/>
  <c r="E48" i="66"/>
  <c r="B48" i="66"/>
  <c r="F77" i="66"/>
  <c r="I34" i="66"/>
  <c r="I75" i="66" s="1"/>
  <c r="B90" i="65"/>
  <c r="D90" i="65" s="1"/>
  <c r="E90" i="65" s="1"/>
  <c r="E97" i="64"/>
  <c r="B65" i="71"/>
  <c r="I92" i="66"/>
  <c r="D92" i="66"/>
  <c r="K92" i="66" s="1"/>
  <c r="F47" i="66"/>
  <c r="I91" i="66"/>
  <c r="I89" i="66"/>
  <c r="I90" i="66"/>
  <c r="I88" i="66"/>
  <c r="D105" i="66"/>
  <c r="F38" i="71"/>
  <c r="F39" i="71"/>
  <c r="L45" i="66"/>
  <c r="D91" i="65"/>
  <c r="E91" i="65" s="1"/>
  <c r="D92" i="65"/>
  <c r="C102" i="66" s="1"/>
  <c r="G21" i="72"/>
  <c r="B26" i="72"/>
  <c r="B27" i="72" s="1"/>
  <c r="K46" i="66"/>
  <c r="E47" i="66"/>
  <c r="J46" i="66"/>
  <c r="L46" i="66"/>
  <c r="C55" i="72"/>
  <c r="C90" i="66"/>
  <c r="I21" i="71"/>
  <c r="B40" i="71"/>
  <c r="I40" i="71" s="1"/>
  <c r="B38" i="71"/>
  <c r="B39" i="71"/>
  <c r="C60" i="72"/>
  <c r="C61" i="72" s="1"/>
  <c r="M55" i="72"/>
  <c r="C88" i="66"/>
  <c r="D93" i="65"/>
  <c r="C60" i="71"/>
  <c r="C61" i="71" s="1"/>
  <c r="C97" i="65"/>
  <c r="C91" i="66"/>
  <c r="D94" i="65"/>
  <c r="C47" i="66"/>
  <c r="C77" i="66"/>
  <c r="I46" i="66"/>
  <c r="N46" i="66"/>
  <c r="N76" i="66"/>
  <c r="C26" i="72"/>
  <c r="C27" i="72" s="1"/>
  <c r="H21" i="72"/>
  <c r="M46" i="66"/>
  <c r="F46" i="66"/>
  <c r="E46" i="66"/>
  <c r="G55" i="72"/>
  <c r="C46" i="66"/>
  <c r="C76" i="66"/>
  <c r="C89" i="66"/>
  <c r="B47" i="66"/>
  <c r="D47" i="66"/>
  <c r="G47" i="66"/>
  <c r="G77" i="66"/>
  <c r="B60" i="72"/>
  <c r="I37" i="72"/>
  <c r="D71" i="72"/>
  <c r="G71" i="72"/>
  <c r="B71" i="72"/>
  <c r="E71" i="72"/>
  <c r="C71" i="72"/>
  <c r="F71" i="72"/>
  <c r="E37" i="72"/>
  <c r="F37" i="72"/>
  <c r="C37" i="72"/>
  <c r="G37" i="72"/>
  <c r="D37" i="72"/>
  <c r="B37" i="72"/>
  <c r="M71" i="72"/>
  <c r="K71" i="72"/>
  <c r="H71" i="72"/>
  <c r="L71" i="72"/>
  <c r="I71" i="72"/>
  <c r="J71" i="72"/>
  <c r="F45" i="66" l="1"/>
  <c r="E45" i="66"/>
  <c r="C65" i="71"/>
  <c r="F70" i="71" s="1"/>
  <c r="K11" i="66" s="1"/>
  <c r="M45" i="66"/>
  <c r="N75" i="66"/>
  <c r="K45" i="66"/>
  <c r="M48" i="66"/>
  <c r="N45" i="66"/>
  <c r="I48" i="66"/>
  <c r="L48" i="66"/>
  <c r="G46" i="66"/>
  <c r="J48" i="66"/>
  <c r="K47" i="66"/>
  <c r="M47" i="66"/>
  <c r="B45" i="66"/>
  <c r="K48" i="66"/>
  <c r="N78" i="66"/>
  <c r="G75" i="66"/>
  <c r="B60" i="71"/>
  <c r="D60" i="71" s="1"/>
  <c r="G76" i="66"/>
  <c r="N77" i="66"/>
  <c r="C45" i="66"/>
  <c r="B97" i="65"/>
  <c r="D97" i="65" s="1"/>
  <c r="J47" i="66"/>
  <c r="I45" i="66"/>
  <c r="L47" i="66"/>
  <c r="I47" i="66"/>
  <c r="B46" i="66"/>
  <c r="G45" i="66"/>
  <c r="K37" i="72"/>
  <c r="H37" i="72"/>
  <c r="L37" i="72"/>
  <c r="M37" i="72"/>
  <c r="B70" i="71"/>
  <c r="B11" i="66" s="1"/>
  <c r="C70" i="71"/>
  <c r="C11" i="66" s="1"/>
  <c r="D70" i="71"/>
  <c r="E70" i="71"/>
  <c r="J11" i="66" s="1"/>
  <c r="E92" i="66"/>
  <c r="E105" i="66"/>
  <c r="I38" i="71"/>
  <c r="B51" i="71" s="1"/>
  <c r="D102" i="66"/>
  <c r="D88" i="66"/>
  <c r="J88" i="66"/>
  <c r="D91" i="66"/>
  <c r="K91" i="66" s="1"/>
  <c r="J91" i="66"/>
  <c r="D89" i="66"/>
  <c r="J89" i="66"/>
  <c r="D90" i="66"/>
  <c r="K90" i="66" s="1"/>
  <c r="J90" i="66"/>
  <c r="I39" i="71"/>
  <c r="E92" i="65"/>
  <c r="C101" i="66"/>
  <c r="D51" i="71"/>
  <c r="D26" i="72"/>
  <c r="E26" i="72" s="1"/>
  <c r="C104" i="66"/>
  <c r="E94" i="65"/>
  <c r="C103" i="66"/>
  <c r="E93" i="65"/>
  <c r="D60" i="72"/>
  <c r="B61" i="72"/>
  <c r="B61" i="71" l="1"/>
  <c r="C76" i="71"/>
  <c r="B76" i="71"/>
  <c r="I11" i="66"/>
  <c r="E102" i="66"/>
  <c r="I37" i="71"/>
  <c r="K89" i="66"/>
  <c r="K88" i="66"/>
  <c r="E88" i="66"/>
  <c r="D101" i="66"/>
  <c r="D103" i="66"/>
  <c r="D104" i="66"/>
  <c r="E89" i="66"/>
  <c r="E90" i="66"/>
  <c r="E91" i="66"/>
  <c r="C51" i="71"/>
  <c r="D52" i="71"/>
  <c r="D27" i="72"/>
  <c r="E27" i="72" s="1"/>
  <c r="C33" i="72"/>
  <c r="L38" i="72" s="1"/>
  <c r="L39" i="72" s="1"/>
  <c r="B33" i="72"/>
  <c r="D38" i="72" s="1"/>
  <c r="D39" i="72" s="1"/>
  <c r="B52" i="71"/>
  <c r="E60" i="71"/>
  <c r="C66" i="71"/>
  <c r="D71" i="71" s="1"/>
  <c r="B66" i="71"/>
  <c r="D61" i="71"/>
  <c r="E61" i="71" s="1"/>
  <c r="C67" i="72"/>
  <c r="B67" i="72"/>
  <c r="D61" i="72"/>
  <c r="E61" i="72" s="1"/>
  <c r="E97" i="65"/>
  <c r="E60" i="72"/>
  <c r="D76" i="71" l="1"/>
  <c r="E76" i="71" s="1"/>
  <c r="C52" i="71"/>
  <c r="E71" i="71"/>
  <c r="B71" i="71"/>
  <c r="C71" i="71"/>
  <c r="F71" i="71"/>
  <c r="E104" i="66"/>
  <c r="E103" i="66"/>
  <c r="E101" i="66"/>
  <c r="E38" i="72"/>
  <c r="E39" i="72" s="1"/>
  <c r="M38" i="72"/>
  <c r="M39" i="72" s="1"/>
  <c r="G38" i="72"/>
  <c r="G39" i="72" s="1"/>
  <c r="K38" i="72"/>
  <c r="K39" i="72" s="1"/>
  <c r="H38" i="72"/>
  <c r="H39" i="72" s="1"/>
  <c r="J38" i="72"/>
  <c r="J39" i="72" s="1"/>
  <c r="I38" i="72"/>
  <c r="I39" i="72" s="1"/>
  <c r="F38" i="72"/>
  <c r="F39" i="72" s="1"/>
  <c r="B38" i="72"/>
  <c r="B39" i="72" s="1"/>
  <c r="C38" i="72"/>
  <c r="C39" i="72" s="1"/>
  <c r="L72" i="72"/>
  <c r="L73" i="72" s="1"/>
  <c r="I72" i="72"/>
  <c r="I73" i="72" s="1"/>
  <c r="M72" i="72"/>
  <c r="M73" i="72" s="1"/>
  <c r="J72" i="72"/>
  <c r="J73" i="72" s="1"/>
  <c r="K72" i="72"/>
  <c r="K73" i="72" s="1"/>
  <c r="H72" i="72"/>
  <c r="H73" i="72" s="1"/>
  <c r="D72" i="72"/>
  <c r="D73" i="72" s="1"/>
  <c r="E72" i="72"/>
  <c r="E73" i="72" s="1"/>
  <c r="B72" i="72"/>
  <c r="B73" i="72" s="1"/>
  <c r="F72" i="72"/>
  <c r="F73" i="72" s="1"/>
  <c r="G72" i="72"/>
  <c r="G73" i="72" s="1"/>
  <c r="C72" i="72"/>
  <c r="C73" i="72" s="1"/>
  <c r="B100" i="66"/>
  <c r="K21" i="66" l="1"/>
  <c r="F72" i="71"/>
  <c r="B21" i="66"/>
  <c r="B77" i="71"/>
  <c r="B72" i="71"/>
  <c r="C21" i="66"/>
  <c r="C72" i="71"/>
  <c r="I21" i="66"/>
  <c r="C77" i="71"/>
  <c r="C78" i="71" s="1"/>
  <c r="D72" i="71"/>
  <c r="J21" i="66"/>
  <c r="E72" i="71"/>
  <c r="B107" i="66"/>
  <c r="J33" i="66" l="1"/>
  <c r="B33" i="66"/>
  <c r="K33" i="66"/>
  <c r="C33" i="66"/>
  <c r="I33" i="66"/>
  <c r="D77" i="71"/>
  <c r="E77" i="71" s="1"/>
  <c r="B78" i="71"/>
  <c r="C87" i="66"/>
  <c r="C94" i="66" l="1"/>
  <c r="J94" i="66" s="1"/>
  <c r="J87" i="66"/>
  <c r="K44" i="66"/>
  <c r="C44" i="66"/>
  <c r="B44" i="66"/>
  <c r="I44" i="66"/>
  <c r="J44" i="66"/>
  <c r="B87" i="66"/>
  <c r="C100" i="66"/>
  <c r="D78" i="71"/>
  <c r="I87" i="66" l="1"/>
  <c r="E78" i="71"/>
  <c r="C107" i="66"/>
  <c r="D107" i="66" s="1"/>
  <c r="E107" i="66" s="1"/>
  <c r="D100" i="66"/>
  <c r="D87" i="66"/>
  <c r="K87" i="66" s="1"/>
  <c r="B94" i="66"/>
  <c r="I94" i="66" s="1"/>
  <c r="E100" i="66" l="1"/>
  <c r="E87" i="66"/>
  <c r="D94" i="66"/>
  <c r="K94" i="66" s="1"/>
  <c r="E94" i="66" l="1"/>
</calcChain>
</file>

<file path=xl/sharedStrings.xml><?xml version="1.0" encoding="utf-8"?>
<sst xmlns="http://schemas.openxmlformats.org/spreadsheetml/2006/main" count="1256" uniqueCount="236">
  <si>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</si>
  <si>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</si>
  <si>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</si>
  <si>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</si>
  <si>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</si>
  <si>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</si>
  <si>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</si>
  <si>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</si>
  <si>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</si>
  <si>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</si>
  <si>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</si>
  <si>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</si>
  <si>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</si>
  <si>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</si>
  <si>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</si>
  <si>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</si>
  <si>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</si>
  <si>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</si>
  <si>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</si>
  <si>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</si>
  <si>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</si>
  <si>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</si>
  <si>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</si>
  <si>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</si>
  <si>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</si>
  <si>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</si>
  <si>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</si>
  <si>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</si>
  <si>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</si>
  <si>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</si>
  <si>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</si>
  <si>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</si>
  <si>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</si>
  <si>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</si>
  <si>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</si>
  <si>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</si>
  <si>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</si>
  <si>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</si>
  <si>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</si>
  <si>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</si>
  <si>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</si>
  <si>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</si>
  <si>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</si>
  <si>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</si>
  <si>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</si>
  <si>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</si>
  <si>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</si>
  <si>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</si>
  <si>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</si>
  <si>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</si>
  <si>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</si>
  <si>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</si>
  <si>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</si>
  <si>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</si>
  <si>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</si>
  <si>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</si>
  <si>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</si>
  <si>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</si>
  <si>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</si>
  <si>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</si>
  <si>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</si>
  <si>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</si>
  <si>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</si>
  <si>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</si>
  <si>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</si>
  <si>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</si>
  <si>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</si>
  <si>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</si>
  <si>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</si>
  <si>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</si>
  <si>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</si>
  <si>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</si>
  <si>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</si>
  <si>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</si>
  <si>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</si>
  <si>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</si>
  <si>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</si>
  <si>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</si>
  <si>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</si>
  <si>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</si>
  <si>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</si>
  <si>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</si>
  <si>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</si>
  <si>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</si>
  <si>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</si>
  <si>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</si>
  <si>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</si>
  <si>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</si>
  <si>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</si>
  <si>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</si>
  <si>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</si>
  <si>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</si>
  <si>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</si>
  <si>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</si>
  <si>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</si>
  <si>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</si>
  <si>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</si>
  <si>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</si>
  <si>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</si>
  <si>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</si>
  <si>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</si>
  <si>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</si>
  <si>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</si>
  <si>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</si>
  <si>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</si>
  <si>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</si>
  <si>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</si>
  <si>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</si>
  <si>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</si>
  <si>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</si>
  <si>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</si>
  <si>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</si>
  <si>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</si>
  <si>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</si>
  <si>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</si>
  <si>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</si>
  <si>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</si>
  <si>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</si>
  <si>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</si>
  <si>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</si>
  <si>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</si>
  <si>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</si>
  <si>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</si>
  <si>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</si>
  <si>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</si>
  <si>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</si>
  <si>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</si>
  <si>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</si>
  <si>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</si>
  <si>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</si>
  <si>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</si>
  <si>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</si>
  <si>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</si>
  <si>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</si>
  <si>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</si>
  <si>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</si>
  <si>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</si>
  <si>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</si>
  <si>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</si>
  <si>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</si>
  <si>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</si>
  <si>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</si>
  <si>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</si>
  <si>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</si>
  <si>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</si>
  <si>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</si>
  <si>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</si>
  <si>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</si>
  <si>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</si>
  <si>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</si>
  <si>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</si>
  <si>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</si>
  <si>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</si>
  <si>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</si>
  <si>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</si>
  <si>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</si>
  <si>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</si>
  <si>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</si>
  <si>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</si>
  <si>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</si>
  <si>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</si>
  <si>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</si>
  <si>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</si>
  <si>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</si>
  <si>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</si>
  <si>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</si>
  <si>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</si>
  <si>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</si>
  <si>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</si>
  <si>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</si>
  <si>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</si>
  <si>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</si>
  <si>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</si>
  <si>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</si>
  <si>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</si>
  <si>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</si>
  <si>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</si>
  <si>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</si>
  <si>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</si>
  <si>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</si>
  <si>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</si>
  <si>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</si>
  <si>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</si>
  <si>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</si>
  <si>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</si>
  <si>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</si>
  <si>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</si>
  <si>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</si>
  <si>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</si>
  <si>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</si>
  <si>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</si>
  <si>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</si>
  <si>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</si>
  <si>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</si>
  <si>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</si>
  <si>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</si>
  <si>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</si>
  <si>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</si>
  <si>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</si>
  <si>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</si>
  <si>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</si>
  <si>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</si>
  <si>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</si>
  <si>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</si>
  <si>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</si>
  <si>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</si>
  <si>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</si>
  <si>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</si>
  <si>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</si>
  <si>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</si>
  <si>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</si>
  <si>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</si>
  <si>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</si>
  <si>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Circular 3/2020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</si>
  <si>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</si>
  <si>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</si>
  <si>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</si>
  <si>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</si>
  <si>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</si>
  <si>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</si>
  <si>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</si>
  <si>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</si>
  <si>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</si>
  <si>
    <t xml:space="preserve">Retribución definitiva transporte 2016-2021 </t>
  </si>
  <si>
    <t>Fuente: Curvas de carga del sistema peninular, balances de energía, y calendario propuesta Circular para el ejercicio 2021</t>
  </si>
  <si>
    <t>Fuente: Previsión CNMC 2023</t>
  </si>
  <si>
    <t>Fuente: Curvas de carga de consumidores conectados en baja tensión con potencia contratada inferior a 15 kW. Sistema peninsular. Año 2021</t>
  </si>
  <si>
    <t>IIa.- Balances de potencia. Circular 3/2020. Año 2021</t>
  </si>
  <si>
    <t>IIb.- Balances de energía. Circular 3/2020. Año 2021</t>
  </si>
  <si>
    <t>Excesos de potencia</t>
  </si>
  <si>
    <t>Energía reactiva</t>
  </si>
  <si>
    <t>Ingresos por peajes transporte</t>
  </si>
  <si>
    <t>Retribución provisional 2023</t>
  </si>
  <si>
    <t>Fuente: Previsión de retribución del transporte para el ejercicio 2023</t>
  </si>
  <si>
    <t>Fuente: Previsión de retribución de la distribución para el ejercicio 2023</t>
  </si>
  <si>
    <t>Facturación media (€/MWh)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</si>
</sst>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,##0_ ;\-#,##0\ "/>
    <numFmt numFmtId="169" formatCode="0.0%"/>
    <numFmt numFmtId="170" formatCode="#,##0.000"/>
    <numFmt numFmtId="171" formatCode="_-\ #,##0\ _€_-;\-\ #,##0\ _€_-;_-\ &quot;-&quot;??\ _€_-;_-@_-"/>
    <numFmt numFmtId="172" formatCode="_-* #,##0\ _€_-;\-* #,##0\ _€_-;_-* &quot;-&quot;??\ _€_-;_-@_-"/>
    <numFmt numFmtId="173" formatCode="[$-C0A]mmm\-yy;@"/>
    <numFmt numFmtId="174" formatCode="_-* #,##0.0\ _P_t_a_-;\-* #,##0.0\ _P_t_a_-;_-* &quot;-&quot;\ _P_t_a_-;_-@_-"/>
    <numFmt numFmtId="175" formatCode="_-* #,##0.000\ _P_t_a_-;\-* #,##0.000\ _P_t_a_-;_-* &quot;-&quot;??\ _P_t_a_-;_-@_-"/>
    <numFmt numFmtId="176" formatCode="#,##0.00000"/>
    <numFmt numFmtId="177" formatCode="_-* #,##0.0000\ _€_-;\-* #,##0.0000\ _€_-;_-* &quot;-&quot;??\ _€_-;_-@_-"/>
    <numFmt numFmtId="178" formatCode="_-* #,##0\ _€_-;\-* #,##0\ _€_-;_-* &quot;-&quot;????\ _€_-;_-@_-"/>
    <numFmt numFmtId="179" formatCode="_-* #,##0.0\ _P_t_a_-;\-* #,##0.0\ _P_t_a_-;_-* &quot;-&quot;??\ _P_t_a_-;_-@_-"/>
    <numFmt numFmtId="180" formatCode="_-* #,##0.000000\ _€_-;\-* #,##0.000000\ _€_-;_-* &quot;-&quot;??\ _€_-;_-@_-"/>
    <numFmt numFmtId="181" formatCode="_-* #,##0\ _P_t_a_-;\-* #,##0\ _P_t_a_-;_-* &quot;-&quot;??\ _P_t_a_-;_-@_-"/>
    <numFmt numFmtId="182" formatCode="_-* #,##0.0000\ _€_-;\-* #,##0.0000\ _€_-;_-* &quot;-&quot;????\ _€_-;_-@_-"/>
    <numFmt numFmtId="183" formatCode="_-* #,##0.000000\ _€_-;\-* #,##0.000000\ _€_-;_-* &quot;-&quot;??????\ _€_-;_-@_-"/>
    <numFmt numFmtId="184" formatCode="_-* #,##0.0\ _€_-;\-* #,##0.0\ _€_-;_-* &quot;-&quot;?\ _€_-;_-@_-"/>
    <numFmt numFmtId="185" formatCode="_-* #,##0.0000000\ _P_t_a_-;\-* #,##0.0000000\ _P_t_a_-;_-* &quot;-&quot;??\ _P_t_a_-;_-@_-"/>
    <numFmt numFmtId="186" formatCode="_-* #,##0.000\ _€_-;\-* #,##0.000\ _€_-;_-* &quot;-&quot;??\ _€_-;_-@_-"/>
    <numFmt numFmtId="187" formatCode="_-* #,##0.0000\ _P_t_a_-;\-* #,##0.0000\ _P_t_a_-;_-* &quot;-&quot;??\ _P_t_a_-;_-@_-"/>
    <numFmt numFmtId="188" formatCode="_-* #,##0.000000\ _P_t_a_-;\-* #,##0.000000\ _P_t_a_-;_-* &quot;-&quot;??\ _P_t_a_-;_-@_-"/>
    <numFmt numFmtId="189" formatCode="_-* #,##0.00000\ _€_-;\-* #,##0.00000\ _€_-;_-* &quot;-&quot;??\ _€_-;_-@_-"/>
  </numFmts>
  <fonts count="6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5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65C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</borders>
  <cellStyleXfs count="318">
    <xf numFmtId="0" fontId="0" fillId="0" borderId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7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4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12" fillId="0" borderId="0" applyFont="0" applyFill="0" applyBorder="0" applyAlignment="0" applyProtection="0"/>
    <xf numFmtId="3" fontId="29" fillId="16" borderId="0"/>
    <xf numFmtId="3" fontId="30" fillId="16" borderId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0" fontId="12" fillId="0" borderId="0"/>
    <xf numFmtId="173" fontId="12" fillId="0" borderId="0"/>
    <xf numFmtId="0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173" fontId="9" fillId="3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12" fillId="0" borderId="0"/>
    <xf numFmtId="165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3" fontId="31" fillId="18" borderId="0" applyNumberFormat="0" applyBorder="0" applyAlignment="0" applyProtection="0"/>
    <xf numFmtId="173" fontId="31" fillId="19" borderId="0" applyNumberFormat="0" applyBorder="0" applyAlignment="0" applyProtection="0"/>
    <xf numFmtId="173" fontId="31" fillId="20" borderId="0" applyNumberFormat="0" applyBorder="0" applyAlignment="0" applyProtection="0"/>
    <xf numFmtId="173" fontId="31" fillId="21" borderId="0" applyNumberFormat="0" applyBorder="0" applyAlignment="0" applyProtection="0"/>
    <xf numFmtId="173" fontId="31" fillId="22" borderId="0" applyNumberFormat="0" applyBorder="0" applyAlignment="0" applyProtection="0"/>
    <xf numFmtId="173" fontId="31" fillId="23" borderId="0" applyNumberFormat="0" applyBorder="0" applyAlignment="0" applyProtection="0"/>
    <xf numFmtId="173" fontId="31" fillId="24" borderId="0" applyNumberFormat="0" applyBorder="0" applyAlignment="0" applyProtection="0"/>
    <xf numFmtId="173" fontId="31" fillId="25" borderId="0" applyNumberFormat="0" applyBorder="0" applyAlignment="0" applyProtection="0"/>
    <xf numFmtId="173" fontId="31" fillId="26" borderId="0" applyNumberFormat="0" applyBorder="0" applyAlignment="0" applyProtection="0"/>
    <xf numFmtId="173" fontId="31" fillId="21" borderId="0" applyNumberFormat="0" applyBorder="0" applyAlignment="0" applyProtection="0"/>
    <xf numFmtId="173" fontId="31" fillId="24" borderId="0" applyNumberFormat="0" applyBorder="0" applyAlignment="0" applyProtection="0"/>
    <xf numFmtId="173" fontId="31" fillId="27" borderId="0" applyNumberFormat="0" applyBorder="0" applyAlignment="0" applyProtection="0"/>
    <xf numFmtId="173" fontId="34" fillId="28" borderId="0" applyNumberFormat="0" applyBorder="0" applyAlignment="0" applyProtection="0"/>
    <xf numFmtId="173" fontId="34" fillId="25" borderId="0" applyNumberFormat="0" applyBorder="0" applyAlignment="0" applyProtection="0"/>
    <xf numFmtId="173" fontId="34" fillId="26" borderId="0" applyNumberFormat="0" applyBorder="0" applyAlignment="0" applyProtection="0"/>
    <xf numFmtId="173" fontId="34" fillId="29" borderId="0" applyNumberFormat="0" applyBorder="0" applyAlignment="0" applyProtection="0"/>
    <xf numFmtId="173" fontId="34" fillId="30" borderId="0" applyNumberFormat="0" applyBorder="0" applyAlignment="0" applyProtection="0"/>
    <xf numFmtId="173" fontId="34" fillId="31" borderId="0" applyNumberFormat="0" applyBorder="0" applyAlignment="0" applyProtection="0"/>
    <xf numFmtId="173" fontId="34" fillId="32" borderId="0" applyNumberFormat="0" applyBorder="0" applyAlignment="0" applyProtection="0"/>
    <xf numFmtId="173" fontId="31" fillId="33" borderId="0" applyNumberFormat="0" applyBorder="0" applyAlignment="0" applyProtection="0"/>
    <xf numFmtId="173" fontId="31" fillId="33" borderId="0" applyNumberFormat="0" applyBorder="0" applyAlignment="0" applyProtection="0"/>
    <xf numFmtId="173" fontId="34" fillId="34" borderId="0" applyNumberFormat="0" applyBorder="0" applyAlignment="0" applyProtection="0"/>
    <xf numFmtId="173" fontId="34" fillId="35" borderId="0" applyNumberFormat="0" applyBorder="0" applyAlignment="0" applyProtection="0"/>
    <xf numFmtId="173" fontId="31" fillId="36" borderId="0" applyNumberFormat="0" applyBorder="0" applyAlignment="0" applyProtection="0"/>
    <xf numFmtId="173" fontId="31" fillId="37" borderId="0" applyNumberFormat="0" applyBorder="0" applyAlignment="0" applyProtection="0"/>
    <xf numFmtId="173" fontId="34" fillId="38" borderId="0" applyNumberFormat="0" applyBorder="0" applyAlignment="0" applyProtection="0"/>
    <xf numFmtId="173" fontId="34" fillId="38" borderId="0" applyNumberFormat="0" applyBorder="0" applyAlignment="0" applyProtection="0"/>
    <xf numFmtId="173" fontId="31" fillId="36" borderId="0" applyNumberFormat="0" applyBorder="0" applyAlignment="0" applyProtection="0"/>
    <xf numFmtId="173" fontId="31" fillId="39" borderId="0" applyNumberFormat="0" applyBorder="0" applyAlignment="0" applyProtection="0"/>
    <xf numFmtId="173" fontId="34" fillId="37" borderId="0" applyNumberFormat="0" applyBorder="0" applyAlignment="0" applyProtection="0"/>
    <xf numFmtId="173" fontId="34" fillId="32" borderId="0" applyNumberFormat="0" applyBorder="0" applyAlignment="0" applyProtection="0"/>
    <xf numFmtId="173" fontId="31" fillId="33" borderId="0" applyNumberFormat="0" applyBorder="0" applyAlignment="0" applyProtection="0"/>
    <xf numFmtId="173" fontId="31" fillId="37" borderId="0" applyNumberFormat="0" applyBorder="0" applyAlignment="0" applyProtection="0"/>
    <xf numFmtId="173" fontId="34" fillId="37" borderId="0" applyNumberFormat="0" applyBorder="0" applyAlignment="0" applyProtection="0"/>
    <xf numFmtId="173" fontId="34" fillId="40" borderId="0" applyNumberFormat="0" applyBorder="0" applyAlignment="0" applyProtection="0"/>
    <xf numFmtId="173" fontId="31" fillId="41" borderId="0" applyNumberFormat="0" applyBorder="0" applyAlignment="0" applyProtection="0"/>
    <xf numFmtId="173" fontId="31" fillId="33" borderId="0" applyNumberFormat="0" applyBorder="0" applyAlignment="0" applyProtection="0"/>
    <xf numFmtId="173" fontId="34" fillId="34" borderId="0" applyNumberFormat="0" applyBorder="0" applyAlignment="0" applyProtection="0"/>
    <xf numFmtId="173" fontId="34" fillId="42" borderId="0" applyNumberFormat="0" applyBorder="0" applyAlignment="0" applyProtection="0"/>
    <xf numFmtId="173" fontId="31" fillId="36" borderId="0" applyNumberFormat="0" applyBorder="0" applyAlignment="0" applyProtection="0"/>
    <xf numFmtId="173" fontId="31" fillId="43" borderId="0" applyNumberFormat="0" applyBorder="0" applyAlignment="0" applyProtection="0"/>
    <xf numFmtId="173" fontId="34" fillId="43" borderId="0" applyNumberFormat="0" applyBorder="0" applyAlignment="0" applyProtection="0"/>
    <xf numFmtId="173" fontId="35" fillId="44" borderId="0" applyNumberFormat="0" applyBorder="0" applyAlignment="0" applyProtection="0"/>
    <xf numFmtId="173" fontId="36" fillId="45" borderId="74" applyNumberFormat="0" applyAlignment="0" applyProtection="0"/>
    <xf numFmtId="173" fontId="37" fillId="38" borderId="75" applyNumberFormat="0" applyAlignment="0" applyProtection="0"/>
    <xf numFmtId="173" fontId="38" fillId="46" borderId="0" applyNumberFormat="0" applyBorder="0" applyAlignment="0" applyProtection="0"/>
    <xf numFmtId="173" fontId="38" fillId="47" borderId="0" applyNumberFormat="0" applyBorder="0" applyAlignment="0" applyProtection="0"/>
    <xf numFmtId="173" fontId="38" fillId="48" borderId="0" applyNumberFormat="0" applyBorder="0" applyAlignment="0" applyProtection="0"/>
    <xf numFmtId="173" fontId="39" fillId="0" borderId="0" applyNumberFormat="0" applyFill="0" applyBorder="0" applyAlignment="0" applyProtection="0"/>
    <xf numFmtId="173" fontId="40" fillId="39" borderId="0" applyNumberFormat="0" applyBorder="0" applyAlignment="0" applyProtection="0"/>
    <xf numFmtId="173" fontId="41" fillId="0" borderId="76" applyNumberFormat="0" applyFill="0" applyAlignment="0" applyProtection="0"/>
    <xf numFmtId="173" fontId="42" fillId="0" borderId="77" applyNumberFormat="0" applyFill="0" applyAlignment="0" applyProtection="0"/>
    <xf numFmtId="173" fontId="43" fillId="0" borderId="78" applyNumberFormat="0" applyFill="0" applyAlignment="0" applyProtection="0"/>
    <xf numFmtId="173" fontId="43" fillId="0" borderId="0" applyNumberFormat="0" applyFill="0" applyBorder="0" applyAlignment="0" applyProtection="0"/>
    <xf numFmtId="173" fontId="44" fillId="43" borderId="74" applyNumberFormat="0" applyAlignment="0" applyProtection="0"/>
    <xf numFmtId="173" fontId="45" fillId="0" borderId="79" applyNumberFormat="0" applyFill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7" fillId="0" borderId="0"/>
    <xf numFmtId="173" fontId="12" fillId="36" borderId="73" applyNumberFormat="0" applyFont="0" applyAlignment="0" applyProtection="0"/>
    <xf numFmtId="173" fontId="46" fillId="45" borderId="80" applyNumberFormat="0" applyAlignment="0" applyProtection="0"/>
    <xf numFmtId="9" fontId="12" fillId="0" borderId="0" applyFont="0" applyFill="0" applyBorder="0" applyAlignment="0" applyProtection="0"/>
    <xf numFmtId="173" fontId="47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5" fillId="0" borderId="0"/>
    <xf numFmtId="0" fontId="12" fillId="0" borderId="0"/>
  </cellStyleXfs>
  <cellXfs count="626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0" xfId="0" applyNumberFormat="1" applyFont="1" applyAlignment="1">
      <alignment vertical="center"/>
    </xf>
    <xf numFmtId="166" fontId="0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3" fontId="20" fillId="0" borderId="0" xfId="0" applyNumberFormat="1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9" fontId="0" fillId="0" borderId="21" xfId="3" applyNumberFormat="1" applyFont="1" applyBorder="1" applyAlignment="1">
      <alignment vertical="center"/>
    </xf>
    <xf numFmtId="169" fontId="0" fillId="0" borderId="22" xfId="3" applyNumberFormat="1" applyFont="1" applyBorder="1" applyAlignment="1">
      <alignment vertical="center"/>
    </xf>
    <xf numFmtId="169" fontId="0" fillId="0" borderId="23" xfId="3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3" fillId="17" borderId="35" xfId="0" applyFont="1" applyFill="1" applyBorder="1" applyAlignment="1">
      <alignment horizontal="center" vertical="center"/>
    </xf>
    <xf numFmtId="169" fontId="13" fillId="17" borderId="20" xfId="3" applyNumberFormat="1" applyFont="1" applyFill="1" applyBorder="1" applyAlignment="1">
      <alignment horizontal="center" vertical="center"/>
    </xf>
    <xf numFmtId="169" fontId="13" fillId="17" borderId="17" xfId="3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vertical="center"/>
    </xf>
    <xf numFmtId="169" fontId="13" fillId="17" borderId="17" xfId="3" applyNumberFormat="1" applyFont="1" applyFill="1" applyBorder="1" applyAlignment="1">
      <alignment vertical="center"/>
    </xf>
    <xf numFmtId="174" fontId="0" fillId="0" borderId="0" xfId="1" applyNumberFormat="1" applyFont="1" applyAlignment="1">
      <alignment vertical="center"/>
    </xf>
    <xf numFmtId="167" fontId="0" fillId="0" borderId="0" xfId="8" applyFont="1"/>
    <xf numFmtId="171" fontId="27" fillId="0" borderId="0" xfId="0" applyNumberFormat="1" applyFont="1"/>
    <xf numFmtId="171" fontId="25" fillId="0" borderId="0" xfId="0" applyNumberFormat="1" applyFont="1" applyAlignment="1">
      <alignment vertical="center"/>
    </xf>
    <xf numFmtId="169" fontId="13" fillId="0" borderId="0" xfId="0" applyNumberFormat="1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7" borderId="53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7" borderId="17" xfId="3" applyNumberFormat="1" applyFont="1" applyFill="1" applyBorder="1" applyAlignment="1">
      <alignment horizontal="right" vertical="center" indent="2"/>
    </xf>
    <xf numFmtId="0" fontId="13" fillId="17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170" fontId="5" fillId="0" borderId="21" xfId="0" applyNumberFormat="1" applyFont="1" applyBorder="1" applyAlignment="1">
      <alignment horizontal="center" vertical="center"/>
    </xf>
    <xf numFmtId="170" fontId="5" fillId="0" borderId="91" xfId="0" applyNumberFormat="1" applyFont="1" applyBorder="1" applyAlignment="1">
      <alignment horizontal="center" vertical="center"/>
    </xf>
    <xf numFmtId="170" fontId="5" fillId="0" borderId="98" xfId="0" applyNumberFormat="1" applyFont="1" applyBorder="1" applyAlignment="1">
      <alignment horizontal="center" vertical="center"/>
    </xf>
    <xf numFmtId="170" fontId="5" fillId="0" borderId="93" xfId="0" applyNumberFormat="1" applyFont="1" applyBorder="1" applyAlignment="1">
      <alignment horizontal="center" vertical="center"/>
    </xf>
    <xf numFmtId="175" fontId="0" fillId="0" borderId="0" xfId="8" applyNumberFormat="1" applyFont="1"/>
    <xf numFmtId="176" fontId="0" fillId="0" borderId="0" xfId="0" applyNumberFormat="1"/>
    <xf numFmtId="170" fontId="5" fillId="0" borderId="13" xfId="0" applyNumberFormat="1" applyFont="1" applyBorder="1" applyAlignment="1">
      <alignment horizontal="center" vertical="center"/>
    </xf>
    <xf numFmtId="170" fontId="5" fillId="0" borderId="92" xfId="0" applyNumberFormat="1" applyFont="1" applyBorder="1" applyAlignment="1">
      <alignment horizontal="center" vertical="center"/>
    </xf>
    <xf numFmtId="170" fontId="5" fillId="0" borderId="70" xfId="0" applyNumberFormat="1" applyFont="1" applyBorder="1" applyAlignment="1">
      <alignment horizontal="center" vertical="center"/>
    </xf>
    <xf numFmtId="170" fontId="5" fillId="0" borderId="83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72" fontId="23" fillId="0" borderId="82" xfId="8" applyNumberFormat="1" applyFont="1" applyBorder="1" applyAlignment="1">
      <alignment vertical="center"/>
    </xf>
    <xf numFmtId="172" fontId="23" fillId="0" borderId="100" xfId="8" applyNumberFormat="1" applyFont="1" applyBorder="1" applyAlignment="1">
      <alignment vertical="center"/>
    </xf>
    <xf numFmtId="172" fontId="23" fillId="0" borderId="32" xfId="8" applyNumberFormat="1" applyFont="1" applyBorder="1" applyAlignment="1">
      <alignment vertical="center"/>
    </xf>
    <xf numFmtId="172" fontId="23" fillId="0" borderId="37" xfId="8" applyNumberFormat="1" applyFont="1" applyBorder="1" applyAlignment="1">
      <alignment vertical="center"/>
    </xf>
    <xf numFmtId="169" fontId="23" fillId="0" borderId="101" xfId="0" applyNumberFormat="1" applyFont="1" applyBorder="1" applyAlignment="1">
      <alignment horizontal="center" vertical="center"/>
    </xf>
    <xf numFmtId="10" fontId="23" fillId="0" borderId="102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Font="1" applyBorder="1" applyAlignment="1">
      <alignment horizontal="right" vertical="center" indent="1"/>
    </xf>
    <xf numFmtId="9" fontId="23" fillId="0" borderId="28" xfId="3" applyFont="1" applyBorder="1" applyAlignment="1">
      <alignment horizontal="right" vertical="center" indent="1"/>
    </xf>
    <xf numFmtId="169" fontId="23" fillId="0" borderId="81" xfId="3" applyNumberFormat="1" applyFont="1" applyBorder="1" applyAlignment="1">
      <alignment horizontal="right" vertical="center" indent="1"/>
    </xf>
    <xf numFmtId="172" fontId="23" fillId="0" borderId="27" xfId="8" applyNumberFormat="1" applyFont="1" applyBorder="1" applyAlignment="1">
      <alignment vertical="center"/>
    </xf>
    <xf numFmtId="172" fontId="23" fillId="0" borderId="38" xfId="8" applyNumberFormat="1" applyFont="1" applyBorder="1" applyAlignment="1">
      <alignment vertical="center"/>
    </xf>
    <xf numFmtId="172" fontId="23" fillId="0" borderId="29" xfId="8" applyNumberFormat="1" applyFont="1" applyBorder="1" applyAlignment="1">
      <alignment vertical="center"/>
    </xf>
    <xf numFmtId="172" fontId="23" fillId="0" borderId="101" xfId="8" applyNumberFormat="1" applyFont="1" applyBorder="1" applyAlignment="1">
      <alignment vertical="center"/>
    </xf>
    <xf numFmtId="172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169" fontId="4" fillId="0" borderId="18" xfId="3" applyNumberFormat="1" applyFont="1" applyFill="1" applyBorder="1" applyAlignment="1">
      <alignment vertical="center"/>
    </xf>
    <xf numFmtId="169" fontId="4" fillId="0" borderId="14" xfId="3" applyNumberFormat="1" applyFont="1" applyFill="1" applyBorder="1" applyAlignment="1">
      <alignment vertical="center"/>
    </xf>
    <xf numFmtId="172" fontId="4" fillId="0" borderId="33" xfId="8" applyNumberFormat="1" applyFont="1" applyFill="1" applyBorder="1" applyAlignment="1">
      <alignment horizontal="center" vertical="center"/>
    </xf>
    <xf numFmtId="172" fontId="4" fillId="0" borderId="18" xfId="8" applyNumberFormat="1" applyFont="1" applyFill="1" applyBorder="1" applyAlignment="1">
      <alignment horizontal="center" vertical="center"/>
    </xf>
    <xf numFmtId="172" fontId="4" fillId="0" borderId="14" xfId="8" applyNumberFormat="1" applyFont="1" applyFill="1" applyBorder="1" applyAlignment="1">
      <alignment horizontal="center" vertical="center"/>
    </xf>
    <xf numFmtId="169" fontId="4" fillId="0" borderId="19" xfId="3" applyNumberFormat="1" applyFont="1" applyFill="1" applyBorder="1" applyAlignment="1">
      <alignment vertical="center"/>
    </xf>
    <xf numFmtId="169" fontId="4" fillId="0" borderId="15" xfId="3" applyNumberFormat="1" applyFont="1" applyFill="1" applyBorder="1" applyAlignment="1">
      <alignment vertical="center"/>
    </xf>
    <xf numFmtId="172" fontId="4" fillId="0" borderId="34" xfId="8" applyNumberFormat="1" applyFont="1" applyFill="1" applyBorder="1" applyAlignment="1">
      <alignment horizontal="center" vertical="center"/>
    </xf>
    <xf numFmtId="172" fontId="4" fillId="0" borderId="19" xfId="8" applyNumberFormat="1" applyFont="1" applyFill="1" applyBorder="1" applyAlignment="1">
      <alignment horizontal="center" vertical="center"/>
    </xf>
    <xf numFmtId="172" fontId="4" fillId="0" borderId="15" xfId="8" applyNumberFormat="1" applyFont="1" applyFill="1" applyBorder="1" applyAlignment="1">
      <alignment horizontal="center" vertical="center"/>
    </xf>
    <xf numFmtId="169" fontId="4" fillId="0" borderId="0" xfId="3" applyNumberFormat="1" applyFont="1"/>
    <xf numFmtId="172" fontId="4" fillId="0" borderId="0" xfId="8" applyNumberFormat="1" applyFont="1" applyAlignment="1">
      <alignment horizontal="center"/>
    </xf>
    <xf numFmtId="169" fontId="13" fillId="17" borderId="20" xfId="3" applyNumberFormat="1" applyFont="1" applyFill="1" applyBorder="1" applyAlignment="1">
      <alignment vertical="center"/>
    </xf>
    <xf numFmtId="172" fontId="13" fillId="17" borderId="35" xfId="8" applyNumberFormat="1" applyFont="1" applyFill="1" applyBorder="1" applyAlignment="1">
      <alignment horizontal="center" vertical="center"/>
    </xf>
    <xf numFmtId="172" fontId="13" fillId="17" borderId="20" xfId="8" applyNumberFormat="1" applyFont="1" applyFill="1" applyBorder="1" applyAlignment="1">
      <alignment horizontal="center" vertical="center"/>
    </xf>
    <xf numFmtId="172" fontId="13" fillId="17" borderId="17" xfId="8" applyNumberFormat="1" applyFont="1" applyFill="1" applyBorder="1" applyAlignment="1">
      <alignment horizontal="center" vertical="center"/>
    </xf>
    <xf numFmtId="0" fontId="27" fillId="0" borderId="68" xfId="0" applyFont="1" applyBorder="1" applyAlignment="1">
      <alignment vertical="center"/>
    </xf>
    <xf numFmtId="169" fontId="4" fillId="0" borderId="11" xfId="3" applyNumberFormat="1" applyFont="1" applyFill="1" applyBorder="1" applyAlignment="1">
      <alignment vertical="center"/>
    </xf>
    <xf numFmtId="169" fontId="4" fillId="0" borderId="12" xfId="3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9" fontId="13" fillId="17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2" fontId="4" fillId="0" borderId="1" xfId="8" applyNumberFormat="1" applyFont="1" applyBorder="1" applyAlignment="1">
      <alignment horizontal="center" vertical="center"/>
    </xf>
    <xf numFmtId="172" fontId="4" fillId="0" borderId="21" xfId="8" applyNumberFormat="1" applyFont="1" applyBorder="1" applyAlignment="1">
      <alignment horizontal="center" vertical="center"/>
    </xf>
    <xf numFmtId="172" fontId="4" fillId="0" borderId="13" xfId="8" applyNumberFormat="1" applyFont="1" applyBorder="1" applyAlignment="1">
      <alignment horizontal="center" vertical="center"/>
    </xf>
    <xf numFmtId="172" fontId="4" fillId="0" borderId="58" xfId="8" applyNumberFormat="1" applyFont="1" applyBorder="1" applyAlignment="1">
      <alignment horizontal="center" vertical="center"/>
    </xf>
    <xf numFmtId="172" fontId="4" fillId="0" borderId="91" xfId="8" applyNumberFormat="1" applyFont="1" applyBorder="1" applyAlignment="1">
      <alignment horizontal="center" vertical="center"/>
    </xf>
    <xf numFmtId="172" fontId="4" fillId="0" borderId="92" xfId="8" applyNumberFormat="1" applyFont="1" applyBorder="1" applyAlignment="1">
      <alignment horizontal="center" vertical="center"/>
    </xf>
    <xf numFmtId="172" fontId="4" fillId="0" borderId="69" xfId="8" applyNumberFormat="1" applyFont="1" applyBorder="1" applyAlignment="1">
      <alignment horizontal="center" vertical="center"/>
    </xf>
    <xf numFmtId="172" fontId="4" fillId="0" borderId="98" xfId="8" applyNumberFormat="1" applyFont="1" applyBorder="1" applyAlignment="1">
      <alignment horizontal="center" vertical="center"/>
    </xf>
    <xf numFmtId="172" fontId="4" fillId="0" borderId="70" xfId="8" applyNumberFormat="1" applyFont="1" applyBorder="1" applyAlignment="1">
      <alignment horizontal="center" vertical="center"/>
    </xf>
    <xf numFmtId="172" fontId="4" fillId="0" borderId="59" xfId="8" applyNumberFormat="1" applyFont="1" applyBorder="1" applyAlignment="1">
      <alignment horizontal="center" vertical="center"/>
    </xf>
    <xf numFmtId="172" fontId="4" fillId="0" borderId="93" xfId="8" applyNumberFormat="1" applyFont="1" applyBorder="1" applyAlignment="1">
      <alignment horizontal="center" vertical="center"/>
    </xf>
    <xf numFmtId="172" fontId="4" fillId="0" borderId="83" xfId="8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2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2" fontId="4" fillId="0" borderId="21" xfId="8" applyNumberFormat="1" applyFont="1" applyBorder="1" applyAlignment="1">
      <alignment vertical="center"/>
    </xf>
    <xf numFmtId="172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2" fontId="4" fillId="0" borderId="22" xfId="8" applyNumberFormat="1" applyFont="1" applyBorder="1" applyAlignment="1">
      <alignment vertical="center"/>
    </xf>
    <xf numFmtId="172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2" fontId="4" fillId="0" borderId="23" xfId="8" applyNumberFormat="1" applyFont="1" applyBorder="1" applyAlignment="1">
      <alignment vertical="center"/>
    </xf>
    <xf numFmtId="172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2" fontId="4" fillId="0" borderId="1" xfId="8" applyNumberFormat="1" applyFont="1" applyBorder="1" applyAlignment="1">
      <alignment vertical="center"/>
    </xf>
    <xf numFmtId="172" fontId="4" fillId="0" borderId="2" xfId="8" applyNumberFormat="1" applyFont="1" applyBorder="1" applyAlignment="1">
      <alignment vertical="center"/>
    </xf>
    <xf numFmtId="172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169" fontId="12" fillId="0" borderId="0" xfId="0" applyNumberFormat="1" applyFont="1" applyAlignment="1">
      <alignment vertical="center"/>
    </xf>
    <xf numFmtId="171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178" fontId="0" fillId="0" borderId="0" xfId="0" applyNumberFormat="1"/>
    <xf numFmtId="179" fontId="0" fillId="0" borderId="21" xfId="8" applyNumberFormat="1" applyFont="1" applyBorder="1"/>
    <xf numFmtId="179" fontId="0" fillId="0" borderId="22" xfId="8" applyNumberFormat="1" applyFont="1" applyBorder="1"/>
    <xf numFmtId="179" fontId="0" fillId="0" borderId="1" xfId="8" applyNumberFormat="1" applyFont="1" applyBorder="1"/>
    <xf numFmtId="179" fontId="0" fillId="0" borderId="13" xfId="8" applyNumberFormat="1" applyFont="1" applyBorder="1"/>
    <xf numFmtId="179" fontId="0" fillId="0" borderId="2" xfId="8" applyNumberFormat="1" applyFont="1" applyBorder="1"/>
    <xf numFmtId="179" fontId="0" fillId="0" borderId="14" xfId="8" applyNumberFormat="1" applyFont="1" applyBorder="1"/>
    <xf numFmtId="179" fontId="0" fillId="0" borderId="3" xfId="8" applyNumberFormat="1" applyFont="1" applyBorder="1"/>
    <xf numFmtId="179" fontId="0" fillId="0" borderId="23" xfId="8" applyNumberFormat="1" applyFont="1" applyBorder="1"/>
    <xf numFmtId="179" fontId="0" fillId="0" borderId="15" xfId="8" applyNumberFormat="1" applyFont="1" applyBorder="1"/>
    <xf numFmtId="177" fontId="4" fillId="0" borderId="21" xfId="8" applyNumberFormat="1" applyFont="1" applyBorder="1" applyAlignment="1">
      <alignment vertical="center"/>
    </xf>
    <xf numFmtId="177" fontId="4" fillId="0" borderId="13" xfId="8" applyNumberFormat="1" applyFont="1" applyBorder="1" applyAlignment="1">
      <alignment vertical="center"/>
    </xf>
    <xf numFmtId="177" fontId="4" fillId="0" borderId="22" xfId="8" applyNumberFormat="1" applyFont="1" applyBorder="1" applyAlignment="1">
      <alignment vertical="center"/>
    </xf>
    <xf numFmtId="177" fontId="4" fillId="0" borderId="14" xfId="8" applyNumberFormat="1" applyFont="1" applyBorder="1" applyAlignment="1">
      <alignment vertical="center"/>
    </xf>
    <xf numFmtId="177" fontId="4" fillId="0" borderId="23" xfId="8" applyNumberFormat="1" applyFont="1" applyBorder="1" applyAlignment="1">
      <alignment vertical="center"/>
    </xf>
    <xf numFmtId="177" fontId="4" fillId="0" borderId="15" xfId="8" applyNumberFormat="1" applyFont="1" applyBorder="1" applyAlignment="1">
      <alignment vertical="center"/>
    </xf>
    <xf numFmtId="180" fontId="4" fillId="0" borderId="1" xfId="8" applyNumberFormat="1" applyFont="1" applyBorder="1" applyAlignment="1">
      <alignment vertical="center"/>
    </xf>
    <xf numFmtId="180" fontId="4" fillId="0" borderId="21" xfId="8" applyNumberFormat="1" applyFont="1" applyBorder="1" applyAlignment="1">
      <alignment vertical="center"/>
    </xf>
    <xf numFmtId="180" fontId="4" fillId="0" borderId="13" xfId="8" applyNumberFormat="1" applyFont="1" applyBorder="1" applyAlignment="1">
      <alignment vertical="center"/>
    </xf>
    <xf numFmtId="180" fontId="4" fillId="0" borderId="2" xfId="8" applyNumberFormat="1" applyFont="1" applyBorder="1" applyAlignment="1">
      <alignment vertical="center"/>
    </xf>
    <xf numFmtId="180" fontId="4" fillId="0" borderId="22" xfId="8" applyNumberFormat="1" applyFont="1" applyBorder="1" applyAlignment="1">
      <alignment vertical="center"/>
    </xf>
    <xf numFmtId="180" fontId="4" fillId="0" borderId="14" xfId="8" applyNumberFormat="1" applyFont="1" applyBorder="1" applyAlignment="1">
      <alignment vertical="center"/>
    </xf>
    <xf numFmtId="180" fontId="4" fillId="0" borderId="3" xfId="8" applyNumberFormat="1" applyFont="1" applyBorder="1" applyAlignment="1">
      <alignment vertical="center"/>
    </xf>
    <xf numFmtId="180" fontId="4" fillId="0" borderId="23" xfId="8" applyNumberFormat="1" applyFont="1" applyBorder="1" applyAlignment="1">
      <alignment vertical="center"/>
    </xf>
    <xf numFmtId="180" fontId="4" fillId="0" borderId="15" xfId="8" applyNumberFormat="1" applyFont="1" applyBorder="1" applyAlignment="1">
      <alignment vertical="center"/>
    </xf>
    <xf numFmtId="172" fontId="0" fillId="0" borderId="0" xfId="0" applyNumberFormat="1"/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13" xfId="0" applyFont="1" applyBorder="1" applyAlignment="1">
      <alignment horizontal="center" vertical="center"/>
    </xf>
    <xf numFmtId="177" fontId="4" fillId="0" borderId="114" xfId="8" applyNumberFormat="1" applyFont="1" applyBorder="1" applyAlignment="1">
      <alignment vertical="center"/>
    </xf>
    <xf numFmtId="177" fontId="4" fillId="0" borderId="115" xfId="8" applyNumberFormat="1" applyFont="1" applyBorder="1" applyAlignment="1">
      <alignment vertical="center"/>
    </xf>
    <xf numFmtId="0" fontId="4" fillId="0" borderId="116" xfId="0" applyFont="1" applyBorder="1" applyAlignment="1">
      <alignment horizontal="center" vertical="center"/>
    </xf>
    <xf numFmtId="177" fontId="4" fillId="0" borderId="117" xfId="8" applyNumberFormat="1" applyFont="1" applyBorder="1" applyAlignment="1">
      <alignment vertical="center"/>
    </xf>
    <xf numFmtId="177" fontId="4" fillId="0" borderId="118" xfId="8" applyNumberFormat="1" applyFont="1" applyBorder="1" applyAlignment="1">
      <alignment vertical="center"/>
    </xf>
    <xf numFmtId="0" fontId="3" fillId="0" borderId="119" xfId="0" applyFont="1" applyBorder="1" applyAlignment="1">
      <alignment horizontal="center" vertical="center"/>
    </xf>
    <xf numFmtId="177" fontId="4" fillId="0" borderId="120" xfId="8" applyNumberFormat="1" applyFont="1" applyBorder="1" applyAlignment="1">
      <alignment vertical="center"/>
    </xf>
    <xf numFmtId="177" fontId="4" fillId="0" borderId="121" xfId="8" applyNumberFormat="1" applyFont="1" applyBorder="1" applyAlignment="1">
      <alignment vertical="center"/>
    </xf>
    <xf numFmtId="180" fontId="0" fillId="0" borderId="98" xfId="0" applyNumberFormat="1" applyBorder="1"/>
    <xf numFmtId="180" fontId="0" fillId="0" borderId="22" xfId="0" applyNumberFormat="1" applyBorder="1"/>
    <xf numFmtId="180" fontId="0" fillId="0" borderId="70" xfId="0" applyNumberFormat="1" applyBorder="1"/>
    <xf numFmtId="180" fontId="0" fillId="0" borderId="2" xfId="0" applyNumberFormat="1" applyBorder="1"/>
    <xf numFmtId="180" fontId="0" fillId="0" borderId="14" xfId="0" applyNumberFormat="1" applyBorder="1"/>
    <xf numFmtId="180" fontId="0" fillId="0" borderId="3" xfId="0" applyNumberFormat="1" applyBorder="1"/>
    <xf numFmtId="180" fontId="0" fillId="0" borderId="23" xfId="0" applyNumberFormat="1" applyBorder="1"/>
    <xf numFmtId="181" fontId="0" fillId="0" borderId="0" xfId="0" applyNumberFormat="1"/>
    <xf numFmtId="181" fontId="0" fillId="0" borderId="114" xfId="8" applyNumberFormat="1" applyFont="1" applyBorder="1"/>
    <xf numFmtId="181" fontId="0" fillId="0" borderId="114" xfId="0" applyNumberFormat="1" applyBorder="1"/>
    <xf numFmtId="181" fontId="0" fillId="0" borderId="117" xfId="8" applyNumberFormat="1" applyFont="1" applyBorder="1"/>
    <xf numFmtId="181" fontId="0" fillId="0" borderId="117" xfId="0" applyNumberFormat="1" applyBorder="1"/>
    <xf numFmtId="169" fontId="0" fillId="0" borderId="115" xfId="3" applyNumberFormat="1" applyFont="1" applyBorder="1" applyAlignment="1">
      <alignment horizontal="right" indent="1"/>
    </xf>
    <xf numFmtId="169" fontId="0" fillId="0" borderId="118" xfId="3" applyNumberFormat="1" applyFont="1" applyBorder="1" applyAlignment="1">
      <alignment horizontal="right" indent="1"/>
    </xf>
    <xf numFmtId="181" fontId="0" fillId="0" borderId="120" xfId="8" applyNumberFormat="1" applyFont="1" applyBorder="1"/>
    <xf numFmtId="181" fontId="0" fillId="0" borderId="120" xfId="0" applyNumberFormat="1" applyBorder="1"/>
    <xf numFmtId="169" fontId="0" fillId="0" borderId="121" xfId="3" applyNumberFormat="1" applyFont="1" applyBorder="1" applyAlignment="1">
      <alignment horizontal="right" indent="1"/>
    </xf>
    <xf numFmtId="172" fontId="4" fillId="17" borderId="23" xfId="8" applyNumberFormat="1" applyFont="1" applyFill="1" applyBorder="1" applyAlignment="1">
      <alignment vertical="center"/>
    </xf>
    <xf numFmtId="172" fontId="4" fillId="17" borderId="15" xfId="8" applyNumberFormat="1" applyFont="1" applyFill="1" applyBorder="1" applyAlignment="1">
      <alignment vertical="center"/>
    </xf>
    <xf numFmtId="0" fontId="4" fillId="17" borderId="3" xfId="0" applyFont="1" applyFill="1" applyBorder="1" applyAlignment="1">
      <alignment horizontal="center" vertical="center"/>
    </xf>
    <xf numFmtId="172" fontId="4" fillId="17" borderId="3" xfId="8" applyNumberFormat="1" applyFont="1" applyFill="1" applyBorder="1" applyAlignment="1">
      <alignment vertical="center"/>
    </xf>
    <xf numFmtId="180" fontId="4" fillId="17" borderId="3" xfId="8" applyNumberFormat="1" applyFont="1" applyFill="1" applyBorder="1" applyAlignment="1">
      <alignment vertical="center"/>
    </xf>
    <xf numFmtId="180" fontId="4" fillId="17" borderId="23" xfId="8" applyNumberFormat="1" applyFont="1" applyFill="1" applyBorder="1" applyAlignment="1">
      <alignment vertical="center"/>
    </xf>
    <xf numFmtId="180" fontId="4" fillId="17" borderId="15" xfId="8" applyNumberFormat="1" applyFont="1" applyFill="1" applyBorder="1" applyAlignment="1">
      <alignment vertical="center"/>
    </xf>
    <xf numFmtId="177" fontId="4" fillId="17" borderId="23" xfId="8" applyNumberFormat="1" applyFont="1" applyFill="1" applyBorder="1" applyAlignment="1">
      <alignment vertical="center"/>
    </xf>
    <xf numFmtId="177" fontId="4" fillId="17" borderId="15" xfId="8" applyNumberFormat="1" applyFont="1" applyFill="1" applyBorder="1" applyAlignment="1">
      <alignment vertical="center"/>
    </xf>
    <xf numFmtId="0" fontId="3" fillId="17" borderId="119" xfId="0" applyFont="1" applyFill="1" applyBorder="1" applyAlignment="1">
      <alignment horizontal="center" vertical="center"/>
    </xf>
    <xf numFmtId="177" fontId="4" fillId="17" borderId="120" xfId="8" applyNumberFormat="1" applyFont="1" applyFill="1" applyBorder="1" applyAlignment="1">
      <alignment vertical="center"/>
    </xf>
    <xf numFmtId="177" fontId="4" fillId="17" borderId="121" xfId="8" applyNumberFormat="1" applyFont="1" applyFill="1" applyBorder="1" applyAlignment="1">
      <alignment vertical="center"/>
    </xf>
    <xf numFmtId="180" fontId="0" fillId="17" borderId="3" xfId="0" applyNumberFormat="1" applyFill="1" applyBorder="1"/>
    <xf numFmtId="180" fontId="0" fillId="17" borderId="23" xfId="0" applyNumberFormat="1" applyFill="1" applyBorder="1"/>
    <xf numFmtId="180" fontId="0" fillId="17" borderId="15" xfId="0" applyNumberFormat="1" applyFill="1" applyBorder="1"/>
    <xf numFmtId="179" fontId="0" fillId="17" borderId="23" xfId="8" applyNumberFormat="1" applyFont="1" applyFill="1" applyBorder="1"/>
    <xf numFmtId="179" fontId="0" fillId="17" borderId="15" xfId="8" applyNumberFormat="1" applyFont="1" applyFill="1" applyBorder="1"/>
    <xf numFmtId="179" fontId="0" fillId="17" borderId="3" xfId="8" applyNumberFormat="1" applyFont="1" applyFill="1" applyBorder="1"/>
    <xf numFmtId="181" fontId="0" fillId="17" borderId="120" xfId="8" applyNumberFormat="1" applyFont="1" applyFill="1" applyBorder="1"/>
    <xf numFmtId="181" fontId="0" fillId="17" borderId="120" xfId="0" applyNumberFormat="1" applyFill="1" applyBorder="1"/>
    <xf numFmtId="169" fontId="0" fillId="17" borderId="121" xfId="3" applyNumberFormat="1" applyFont="1" applyFill="1" applyBorder="1" applyAlignment="1">
      <alignment horizontal="right" indent="1"/>
    </xf>
    <xf numFmtId="0" fontId="13" fillId="0" borderId="0" xfId="0" applyFont="1" applyAlignment="1">
      <alignment horizontal="left" vertical="center" indent="1"/>
    </xf>
    <xf numFmtId="181" fontId="13" fillId="0" borderId="0" xfId="8" applyNumberFormat="1" applyFont="1" applyBorder="1" applyAlignment="1">
      <alignment vertical="center"/>
    </xf>
    <xf numFmtId="181" fontId="13" fillId="0" borderId="0" xfId="0" applyNumberFormat="1" applyFont="1" applyAlignment="1">
      <alignment vertical="center"/>
    </xf>
    <xf numFmtId="169" fontId="13" fillId="0" borderId="0" xfId="3" applyNumberFormat="1" applyFont="1" applyBorder="1" applyAlignment="1">
      <alignment horizontal="right" vertical="center" indent="1"/>
    </xf>
    <xf numFmtId="172" fontId="4" fillId="0" borderId="23" xfId="8" applyNumberFormat="1" applyFont="1" applyFill="1" applyBorder="1" applyAlignment="1">
      <alignment vertical="center"/>
    </xf>
    <xf numFmtId="172" fontId="4" fillId="0" borderId="15" xfId="8" applyNumberFormat="1" applyFont="1" applyFill="1" applyBorder="1" applyAlignment="1">
      <alignment vertical="center"/>
    </xf>
    <xf numFmtId="180" fontId="4" fillId="0" borderId="23" xfId="8" applyNumberFormat="1" applyFont="1" applyFill="1" applyBorder="1" applyAlignment="1">
      <alignment vertical="center"/>
    </xf>
    <xf numFmtId="180" fontId="4" fillId="0" borderId="15" xfId="8" applyNumberFormat="1" applyFont="1" applyFill="1" applyBorder="1" applyAlignment="1">
      <alignment vertical="center"/>
    </xf>
    <xf numFmtId="172" fontId="4" fillId="0" borderId="52" xfId="8" applyNumberFormat="1" applyFont="1" applyBorder="1" applyAlignment="1">
      <alignment vertical="center"/>
    </xf>
    <xf numFmtId="172" fontId="4" fillId="0" borderId="41" xfId="8" applyNumberFormat="1" applyFont="1" applyBorder="1" applyAlignment="1">
      <alignment vertical="center"/>
    </xf>
    <xf numFmtId="172" fontId="4" fillId="0" borderId="42" xfId="8" applyNumberFormat="1" applyFont="1" applyFill="1" applyBorder="1" applyAlignment="1">
      <alignment vertical="center"/>
    </xf>
    <xf numFmtId="180" fontId="4" fillId="0" borderId="52" xfId="8" applyNumberFormat="1" applyFont="1" applyBorder="1" applyAlignment="1">
      <alignment vertical="center"/>
    </xf>
    <xf numFmtId="180" fontId="4" fillId="0" borderId="41" xfId="8" applyNumberFormat="1" applyFont="1" applyBorder="1" applyAlignment="1">
      <alignment vertical="center"/>
    </xf>
    <xf numFmtId="179" fontId="0" fillId="0" borderId="23" xfId="8" applyNumberFormat="1" applyFont="1" applyFill="1" applyBorder="1"/>
    <xf numFmtId="179" fontId="0" fillId="0" borderId="15" xfId="8" applyNumberFormat="1" applyFont="1" applyFill="1" applyBorder="1"/>
    <xf numFmtId="179" fontId="0" fillId="0" borderId="3" xfId="8" applyNumberFormat="1" applyFont="1" applyFill="1" applyBorder="1"/>
    <xf numFmtId="175" fontId="0" fillId="0" borderId="0" xfId="0" applyNumberFormat="1"/>
    <xf numFmtId="181" fontId="0" fillId="0" borderId="0" xfId="8" applyNumberFormat="1" applyFont="1"/>
    <xf numFmtId="167" fontId="0" fillId="0" borderId="0" xfId="0" applyNumberFormat="1"/>
    <xf numFmtId="172" fontId="2" fillId="0" borderId="0" xfId="8" applyNumberFormat="1" applyFont="1" applyBorder="1" applyAlignment="1">
      <alignment vertical="center"/>
    </xf>
    <xf numFmtId="182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9" fontId="0" fillId="0" borderId="0" xfId="3" applyNumberFormat="1" applyFont="1"/>
    <xf numFmtId="10" fontId="0" fillId="0" borderId="0" xfId="3" applyNumberFormat="1" applyFont="1"/>
    <xf numFmtId="169" fontId="0" fillId="0" borderId="0" xfId="3" applyNumberFormat="1" applyFont="1" applyFill="1" applyBorder="1" applyAlignment="1">
      <alignment horizontal="right" indent="1"/>
    </xf>
    <xf numFmtId="169" fontId="0" fillId="0" borderId="0" xfId="3" applyNumberFormat="1" applyFont="1" applyAlignment="1">
      <alignment vertical="center"/>
    </xf>
    <xf numFmtId="172" fontId="4" fillId="0" borderId="0" xfId="0" applyNumberFormat="1" applyFont="1"/>
    <xf numFmtId="169" fontId="0" fillId="0" borderId="124" xfId="3" applyNumberFormat="1" applyFont="1" applyBorder="1" applyAlignment="1">
      <alignment vertical="center"/>
    </xf>
    <xf numFmtId="169" fontId="0" fillId="0" borderId="18" xfId="3" applyNumberFormat="1" applyFont="1" applyBorder="1" applyAlignment="1">
      <alignment vertical="center"/>
    </xf>
    <xf numFmtId="0" fontId="0" fillId="0" borderId="124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1" fontId="0" fillId="0" borderId="0" xfId="8" applyNumberFormat="1" applyFont="1" applyAlignment="1">
      <alignment vertical="center"/>
    </xf>
    <xf numFmtId="184" fontId="0" fillId="0" borderId="0" xfId="0" applyNumberFormat="1" applyAlignment="1">
      <alignment vertical="center"/>
    </xf>
    <xf numFmtId="185" fontId="0" fillId="0" borderId="0" xfId="8" applyNumberFormat="1" applyFont="1" applyAlignment="1">
      <alignment vertical="center"/>
    </xf>
    <xf numFmtId="169" fontId="13" fillId="0" borderId="0" xfId="3" applyNumberFormat="1" applyFont="1" applyAlignment="1">
      <alignment vertical="center"/>
    </xf>
    <xf numFmtId="186" fontId="0" fillId="0" borderId="0" xfId="0" applyNumberFormat="1"/>
    <xf numFmtId="0" fontId="1" fillId="0" borderId="0" xfId="313" applyFont="1"/>
    <xf numFmtId="0" fontId="1" fillId="0" borderId="0" xfId="313" applyFont="1" applyAlignment="1">
      <alignment vertical="center"/>
    </xf>
    <xf numFmtId="0" fontId="1" fillId="0" borderId="59" xfId="313" applyFont="1" applyBorder="1" applyAlignment="1">
      <alignment horizontal="center" vertical="center"/>
    </xf>
    <xf numFmtId="172" fontId="1" fillId="0" borderId="93" xfId="315" applyNumberFormat="1" applyFont="1" applyBorder="1" applyAlignment="1">
      <alignment vertical="center"/>
    </xf>
    <xf numFmtId="172" fontId="1" fillId="0" borderId="83" xfId="315" applyNumberFormat="1" applyFont="1" applyBorder="1" applyAlignment="1">
      <alignment vertical="center"/>
    </xf>
    <xf numFmtId="165" fontId="1" fillId="0" borderId="0" xfId="315" applyFont="1"/>
    <xf numFmtId="172" fontId="1" fillId="0" borderId="0" xfId="315" applyNumberFormat="1" applyFont="1"/>
    <xf numFmtId="169" fontId="1" fillId="0" borderId="125" xfId="314" applyNumberFormat="1" applyFont="1" applyBorder="1" applyAlignment="1">
      <alignment horizontal="right" vertical="center" indent="1"/>
    </xf>
    <xf numFmtId="169" fontId="1" fillId="0" borderId="64" xfId="314" applyNumberFormat="1" applyFont="1" applyBorder="1" applyAlignment="1">
      <alignment horizontal="right" vertical="center" indent="1"/>
    </xf>
    <xf numFmtId="169" fontId="1" fillId="0" borderId="91" xfId="314" applyNumberFormat="1" applyFont="1" applyBorder="1" applyAlignment="1">
      <alignment horizontal="right" vertical="center" indent="1"/>
    </xf>
    <xf numFmtId="9" fontId="1" fillId="0" borderId="0" xfId="314" applyFont="1"/>
    <xf numFmtId="172" fontId="1" fillId="0" borderId="125" xfId="313" applyNumberFormat="1" applyFont="1" applyBorder="1" applyAlignment="1">
      <alignment vertical="center"/>
    </xf>
    <xf numFmtId="172" fontId="1" fillId="0" borderId="64" xfId="313" applyNumberFormat="1" applyFont="1" applyBorder="1" applyAlignment="1">
      <alignment vertical="center"/>
    </xf>
    <xf numFmtId="172" fontId="1" fillId="0" borderId="51" xfId="313" applyNumberFormat="1" applyFont="1" applyBorder="1" applyAlignment="1">
      <alignment vertical="center"/>
    </xf>
    <xf numFmtId="172" fontId="1" fillId="0" borderId="91" xfId="313" applyNumberFormat="1" applyFont="1" applyBorder="1" applyAlignment="1">
      <alignment vertical="center"/>
    </xf>
    <xf numFmtId="172" fontId="1" fillId="0" borderId="93" xfId="313" applyNumberFormat="1" applyFont="1" applyBorder="1" applyAlignment="1">
      <alignment vertical="center"/>
    </xf>
    <xf numFmtId="172" fontId="1" fillId="0" borderId="65" xfId="313" applyNumberFormat="1" applyFont="1" applyBorder="1" applyAlignment="1">
      <alignment vertical="center"/>
    </xf>
    <xf numFmtId="172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7" fontId="1" fillId="0" borderId="21" xfId="315" applyNumberFormat="1" applyFont="1" applyBorder="1" applyAlignment="1">
      <alignment vertical="center"/>
    </xf>
    <xf numFmtId="177" fontId="1" fillId="0" borderId="13" xfId="315" applyNumberFormat="1" applyFont="1" applyBorder="1" applyAlignment="1">
      <alignment vertical="center"/>
    </xf>
    <xf numFmtId="177" fontId="1" fillId="0" borderId="93" xfId="315" applyNumberFormat="1" applyFont="1" applyBorder="1" applyAlignment="1">
      <alignment vertical="center"/>
    </xf>
    <xf numFmtId="177" fontId="1" fillId="0" borderId="83" xfId="315" applyNumberFormat="1" applyFont="1" applyBorder="1" applyAlignment="1">
      <alignment vertical="center"/>
    </xf>
    <xf numFmtId="181" fontId="1" fillId="0" borderId="93" xfId="8" applyNumberFormat="1" applyFont="1" applyBorder="1" applyAlignment="1">
      <alignment vertical="center"/>
    </xf>
    <xf numFmtId="181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2" xfId="313" applyFont="1" applyBorder="1" applyAlignment="1">
      <alignment horizontal="left" vertical="center" indent="1"/>
    </xf>
    <xf numFmtId="181" fontId="1" fillId="0" borderId="21" xfId="8" applyNumberFormat="1" applyFont="1" applyBorder="1" applyAlignment="1">
      <alignment vertical="center"/>
    </xf>
    <xf numFmtId="181" fontId="1" fillId="0" borderId="13" xfId="8" applyNumberFormat="1" applyFont="1" applyBorder="1" applyAlignment="1">
      <alignment vertical="center"/>
    </xf>
    <xf numFmtId="0" fontId="1" fillId="0" borderId="0" xfId="313" applyFont="1" applyAlignment="1">
      <alignment horizontal="left" vertical="center"/>
    </xf>
    <xf numFmtId="169" fontId="1" fillId="0" borderId="0" xfId="314" applyNumberFormat="1" applyFont="1" applyBorder="1" applyAlignment="1">
      <alignment horizontal="right" vertical="center" indent="1"/>
    </xf>
    <xf numFmtId="172" fontId="23" fillId="0" borderId="51" xfId="313" applyNumberFormat="1" applyFont="1" applyBorder="1" applyAlignment="1">
      <alignment vertical="center"/>
    </xf>
    <xf numFmtId="172" fontId="1" fillId="0" borderId="92" xfId="313" applyNumberFormat="1" applyFont="1" applyBorder="1" applyAlignment="1">
      <alignment vertical="center"/>
    </xf>
    <xf numFmtId="0" fontId="1" fillId="0" borderId="0" xfId="313" applyFont="1" applyAlignment="1">
      <alignment horizontal="center" vertical="center"/>
    </xf>
    <xf numFmtId="180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16" xfId="0" applyFont="1" applyBorder="1" applyAlignment="1">
      <alignment horizontal="left" vertical="center" indent="1"/>
    </xf>
    <xf numFmtId="0" fontId="4" fillId="0" borderId="119" xfId="0" applyFont="1" applyBorder="1" applyAlignment="1">
      <alignment horizontal="left" vertical="center" indent="1"/>
    </xf>
    <xf numFmtId="187" fontId="1" fillId="0" borderId="52" xfId="8" applyNumberFormat="1" applyFont="1" applyBorder="1" applyAlignment="1">
      <alignment vertical="center"/>
    </xf>
    <xf numFmtId="181" fontId="0" fillId="0" borderId="117" xfId="8" applyNumberFormat="1" applyFont="1" applyBorder="1" applyAlignment="1">
      <alignment vertical="center"/>
    </xf>
    <xf numFmtId="169" fontId="0" fillId="0" borderId="118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0" fontId="1" fillId="0" borderId="129" xfId="313" applyFont="1" applyBorder="1" applyAlignment="1">
      <alignment horizontal="left" vertical="center" indent="1"/>
    </xf>
    <xf numFmtId="187" fontId="1" fillId="0" borderId="130" xfId="8" applyNumberFormat="1" applyFont="1" applyBorder="1" applyAlignment="1">
      <alignment vertical="center"/>
    </xf>
    <xf numFmtId="0" fontId="4" fillId="0" borderId="132" xfId="0" applyFont="1" applyBorder="1" applyAlignment="1">
      <alignment horizontal="left" vertical="center" indent="1"/>
    </xf>
    <xf numFmtId="181" fontId="1" fillId="0" borderId="51" xfId="313" applyNumberFormat="1" applyFont="1" applyBorder="1" applyAlignment="1">
      <alignment vertical="center"/>
    </xf>
    <xf numFmtId="181" fontId="1" fillId="0" borderId="68" xfId="313" applyNumberFormat="1" applyFont="1" applyBorder="1" applyAlignment="1">
      <alignment vertical="center"/>
    </xf>
    <xf numFmtId="169" fontId="0" fillId="0" borderId="13" xfId="3" applyNumberFormat="1" applyFont="1" applyBorder="1" applyAlignment="1">
      <alignment vertical="center"/>
    </xf>
    <xf numFmtId="169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9" fontId="0" fillId="0" borderId="19" xfId="3" applyNumberFormat="1" applyFont="1" applyBorder="1" applyAlignment="1">
      <alignment vertical="center"/>
    </xf>
    <xf numFmtId="169" fontId="0" fillId="0" borderId="15" xfId="3" applyNumberFormat="1" applyFont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3" fontId="0" fillId="0" borderId="0" xfId="0" applyNumberFormat="1"/>
    <xf numFmtId="0" fontId="23" fillId="17" borderId="27" xfId="313" applyFont="1" applyFill="1" applyBorder="1" applyAlignment="1">
      <alignment horizontal="left" vertical="center" indent="1"/>
    </xf>
    <xf numFmtId="187" fontId="23" fillId="17" borderId="102" xfId="8" applyNumberFormat="1" applyFont="1" applyFill="1" applyBorder="1" applyAlignment="1">
      <alignment vertical="center"/>
    </xf>
    <xf numFmtId="180" fontId="23" fillId="17" borderId="38" xfId="315" applyNumberFormat="1" applyFont="1" applyFill="1" applyBorder="1" applyAlignment="1">
      <alignment vertical="center"/>
    </xf>
    <xf numFmtId="180" fontId="23" fillId="17" borderId="29" xfId="315" applyNumberFormat="1" applyFont="1" applyFill="1" applyBorder="1" applyAlignment="1">
      <alignment vertical="center"/>
    </xf>
    <xf numFmtId="169" fontId="23" fillId="17" borderId="38" xfId="314" applyNumberFormat="1" applyFont="1" applyFill="1" applyBorder="1" applyAlignment="1">
      <alignment horizontal="right" vertical="center" indent="1"/>
    </xf>
    <xf numFmtId="169" fontId="23" fillId="17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1" fontId="13" fillId="17" borderId="24" xfId="8" applyNumberFormat="1" applyFont="1" applyFill="1" applyBorder="1" applyAlignment="1">
      <alignment vertical="center"/>
    </xf>
    <xf numFmtId="181" fontId="13" fillId="17" borderId="24" xfId="0" applyNumberFormat="1" applyFont="1" applyFill="1" applyBorder="1" applyAlignment="1">
      <alignment vertical="center"/>
    </xf>
    <xf numFmtId="169" fontId="13" fillId="17" borderId="17" xfId="3" applyNumberFormat="1" applyFont="1" applyFill="1" applyBorder="1" applyAlignment="1">
      <alignment horizontal="right" vertical="center" indent="1"/>
    </xf>
    <xf numFmtId="0" fontId="23" fillId="17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7" borderId="4" xfId="0" applyFont="1" applyFill="1" applyBorder="1" applyAlignment="1">
      <alignment vertical="center"/>
    </xf>
    <xf numFmtId="169" fontId="13" fillId="17" borderId="17" xfId="3" applyNumberFormat="1" applyFont="1" applyFill="1" applyBorder="1" applyAlignment="1">
      <alignment horizontal="right" vertical="center"/>
    </xf>
    <xf numFmtId="0" fontId="23" fillId="17" borderId="119" xfId="0" applyFont="1" applyFill="1" applyBorder="1" applyAlignment="1">
      <alignment horizontal="left" vertical="center" indent="1"/>
    </xf>
    <xf numFmtId="181" fontId="13" fillId="17" borderId="120" xfId="8" applyNumberFormat="1" applyFont="1" applyFill="1" applyBorder="1" applyAlignment="1">
      <alignment vertical="center"/>
    </xf>
    <xf numFmtId="169" fontId="13" fillId="17" borderId="121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/>
    <xf numFmtId="180" fontId="0" fillId="0" borderId="113" xfId="0" applyNumberFormat="1" applyBorder="1" applyAlignment="1">
      <alignment vertical="center"/>
    </xf>
    <xf numFmtId="180" fontId="0" fillId="0" borderId="114" xfId="0" applyNumberFormat="1" applyBorder="1" applyAlignment="1">
      <alignment vertical="center"/>
    </xf>
    <xf numFmtId="180" fontId="0" fillId="0" borderId="116" xfId="0" applyNumberFormat="1" applyBorder="1" applyAlignment="1">
      <alignment vertical="center"/>
    </xf>
    <xf numFmtId="180" fontId="0" fillId="0" borderId="117" xfId="0" applyNumberFormat="1" applyBorder="1" applyAlignment="1">
      <alignment vertical="center"/>
    </xf>
    <xf numFmtId="180" fontId="0" fillId="0" borderId="118" xfId="0" applyNumberFormat="1" applyBorder="1" applyAlignment="1">
      <alignment vertical="center"/>
    </xf>
    <xf numFmtId="180" fontId="0" fillId="0" borderId="119" xfId="0" applyNumberFormat="1" applyBorder="1" applyAlignment="1">
      <alignment vertical="center"/>
    </xf>
    <xf numFmtId="180" fontId="0" fillId="0" borderId="120" xfId="0" applyNumberFormat="1" applyBorder="1" applyAlignment="1">
      <alignment vertical="center"/>
    </xf>
    <xf numFmtId="180" fontId="0" fillId="0" borderId="121" xfId="0" applyNumberFormat="1" applyBorder="1" applyAlignment="1">
      <alignment vertical="center"/>
    </xf>
    <xf numFmtId="181" fontId="13" fillId="0" borderId="0" xfId="8" applyNumberFormat="1" applyFont="1" applyAlignment="1">
      <alignment vertical="center"/>
    </xf>
    <xf numFmtId="181" fontId="13" fillId="17" borderId="20" xfId="8" applyNumberFormat="1" applyFont="1" applyFill="1" applyBorder="1" applyAlignment="1">
      <alignment vertical="center"/>
    </xf>
    <xf numFmtId="181" fontId="13" fillId="17" borderId="17" xfId="8" applyNumberFormat="1" applyFont="1" applyFill="1" applyBorder="1" applyAlignment="1">
      <alignment vertical="center"/>
    </xf>
    <xf numFmtId="0" fontId="13" fillId="0" borderId="136" xfId="0" quotePrefix="1" applyFont="1" applyBorder="1" applyAlignment="1">
      <alignment horizontal="left" vertical="center" indent="1"/>
    </xf>
    <xf numFmtId="0" fontId="25" fillId="0" borderId="137" xfId="0" applyFont="1" applyBorder="1" applyAlignment="1">
      <alignment vertical="center"/>
    </xf>
    <xf numFmtId="171" fontId="23" fillId="0" borderId="138" xfId="198" applyNumberFormat="1" applyFont="1" applyFill="1" applyBorder="1" applyAlignment="1">
      <alignment vertical="center"/>
    </xf>
    <xf numFmtId="0" fontId="12" fillId="0" borderId="139" xfId="0" applyFont="1" applyBorder="1" applyAlignment="1">
      <alignment horizontal="left" vertical="center" indent="2"/>
    </xf>
    <xf numFmtId="0" fontId="27" fillId="0" borderId="140" xfId="0" applyFont="1" applyBorder="1" applyAlignment="1">
      <alignment vertical="center"/>
    </xf>
    <xf numFmtId="171" fontId="3" fillId="0" borderId="141" xfId="198" applyNumberFormat="1" applyFont="1" applyFill="1" applyBorder="1" applyAlignment="1">
      <alignment vertical="center"/>
    </xf>
    <xf numFmtId="0" fontId="13" fillId="0" borderId="139" xfId="0" quotePrefix="1" applyFont="1" applyBorder="1" applyAlignment="1">
      <alignment horizontal="left" vertical="center" indent="1"/>
    </xf>
    <xf numFmtId="0" fontId="25" fillId="0" borderId="140" xfId="0" applyFont="1" applyBorder="1" applyAlignment="1">
      <alignment vertical="center"/>
    </xf>
    <xf numFmtId="171" fontId="23" fillId="0" borderId="141" xfId="198" applyNumberFormat="1" applyFont="1" applyFill="1" applyBorder="1" applyAlignment="1">
      <alignment vertical="center"/>
    </xf>
    <xf numFmtId="171" fontId="27" fillId="0" borderId="141" xfId="198" applyNumberFormat="1" applyFont="1" applyFill="1" applyBorder="1" applyAlignment="1">
      <alignment horizontal="right" vertical="center" indent="1"/>
    </xf>
    <xf numFmtId="171" fontId="25" fillId="0" borderId="141" xfId="198" applyNumberFormat="1" applyFont="1" applyFill="1" applyBorder="1" applyAlignment="1">
      <alignment horizontal="right" vertical="center" indent="1"/>
    </xf>
    <xf numFmtId="0" fontId="12" fillId="0" borderId="142" xfId="0" applyFont="1" applyBorder="1" applyAlignment="1">
      <alignment horizontal="left" vertical="center" indent="2"/>
    </xf>
    <xf numFmtId="0" fontId="25" fillId="0" borderId="143" xfId="0" applyFont="1" applyBorder="1" applyAlignment="1">
      <alignment vertical="center"/>
    </xf>
    <xf numFmtId="171" fontId="25" fillId="0" borderId="144" xfId="198" applyNumberFormat="1" applyFont="1" applyFill="1" applyBorder="1" applyAlignment="1">
      <alignment horizontal="right" vertical="center" indent="1"/>
    </xf>
    <xf numFmtId="0" fontId="12" fillId="0" borderId="139" xfId="0" applyFont="1" applyBorder="1" applyAlignment="1">
      <alignment horizontal="left" vertical="center" indent="3"/>
    </xf>
    <xf numFmtId="0" fontId="13" fillId="0" borderId="139" xfId="0" applyFont="1" applyBorder="1" applyAlignment="1">
      <alignment horizontal="left" vertical="center" indent="1"/>
    </xf>
    <xf numFmtId="0" fontId="12" fillId="0" borderId="142" xfId="0" applyFont="1" applyBorder="1" applyAlignment="1">
      <alignment horizontal="left" vertical="center" indent="3"/>
    </xf>
    <xf numFmtId="181" fontId="1" fillId="0" borderId="0" xfId="313" applyNumberFormat="1" applyFont="1"/>
    <xf numFmtId="0" fontId="12" fillId="0" borderId="145" xfId="0" applyFont="1" applyBorder="1" applyAlignment="1">
      <alignment horizontal="center" vertical="center"/>
    </xf>
    <xf numFmtId="3" fontId="0" fillId="0" borderId="146" xfId="0" applyNumberFormat="1" applyBorder="1" applyAlignment="1">
      <alignment vertical="center"/>
    </xf>
    <xf numFmtId="10" fontId="0" fillId="0" borderId="146" xfId="3" applyNumberFormat="1" applyFont="1" applyFill="1" applyBorder="1" applyAlignment="1">
      <alignment horizontal="center" vertical="center"/>
    </xf>
    <xf numFmtId="10" fontId="0" fillId="0" borderId="147" xfId="3" applyNumberFormat="1" applyFont="1" applyFill="1" applyBorder="1" applyAlignment="1">
      <alignment horizontal="center" vertical="center"/>
    </xf>
    <xf numFmtId="0" fontId="12" fillId="0" borderId="116" xfId="0" applyFont="1" applyBorder="1" applyAlignment="1">
      <alignment horizontal="center" vertical="center"/>
    </xf>
    <xf numFmtId="3" fontId="0" fillId="0" borderId="117" xfId="0" applyNumberFormat="1" applyBorder="1" applyAlignment="1">
      <alignment vertical="center"/>
    </xf>
    <xf numFmtId="10" fontId="0" fillId="0" borderId="117" xfId="3" applyNumberFormat="1" applyFont="1" applyFill="1" applyBorder="1" applyAlignment="1">
      <alignment horizontal="center" vertical="center"/>
    </xf>
    <xf numFmtId="10" fontId="0" fillId="0" borderId="118" xfId="3" applyNumberFormat="1" applyFont="1" applyFill="1" applyBorder="1" applyAlignment="1">
      <alignment horizontal="center" vertical="center"/>
    </xf>
    <xf numFmtId="0" fontId="12" fillId="0" borderId="119" xfId="0" applyFont="1" applyBorder="1" applyAlignment="1">
      <alignment horizontal="center" vertical="center"/>
    </xf>
    <xf numFmtId="3" fontId="0" fillId="0" borderId="120" xfId="0" applyNumberFormat="1" applyBorder="1" applyAlignment="1">
      <alignment vertical="center"/>
    </xf>
    <xf numFmtId="10" fontId="0" fillId="0" borderId="120" xfId="3" applyNumberFormat="1" applyFont="1" applyFill="1" applyBorder="1" applyAlignment="1">
      <alignment horizontal="center" vertical="center"/>
    </xf>
    <xf numFmtId="10" fontId="0" fillId="0" borderId="121" xfId="3" applyNumberFormat="1" applyFont="1" applyFill="1" applyBorder="1" applyAlignment="1">
      <alignment horizontal="center" vertical="center"/>
    </xf>
    <xf numFmtId="3" fontId="13" fillId="17" borderId="24" xfId="0" applyNumberFormat="1" applyFont="1" applyFill="1" applyBorder="1" applyAlignment="1">
      <alignment vertical="center"/>
    </xf>
    <xf numFmtId="10" fontId="13" fillId="17" borderId="24" xfId="3" applyNumberFormat="1" applyFont="1" applyFill="1" applyBorder="1" applyAlignment="1">
      <alignment horizontal="center" vertical="center"/>
    </xf>
    <xf numFmtId="10" fontId="13" fillId="17" borderId="17" xfId="3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vertical="center"/>
    </xf>
    <xf numFmtId="0" fontId="12" fillId="0" borderId="148" xfId="0" applyFont="1" applyBorder="1" applyAlignment="1">
      <alignment horizontal="left" vertical="center" indent="1"/>
    </xf>
    <xf numFmtId="0" fontId="0" fillId="0" borderId="149" xfId="0" applyBorder="1" applyAlignment="1">
      <alignment vertical="center"/>
    </xf>
    <xf numFmtId="181" fontId="0" fillId="0" borderId="147" xfId="8" applyNumberFormat="1" applyFont="1" applyBorder="1" applyAlignment="1">
      <alignment vertical="center"/>
    </xf>
    <xf numFmtId="0" fontId="12" fillId="0" borderId="139" xfId="0" applyFont="1" applyBorder="1" applyAlignment="1">
      <alignment horizontal="left" vertical="center" indent="1"/>
    </xf>
    <xf numFmtId="0" fontId="0" fillId="0" borderId="140" xfId="0" applyBorder="1" applyAlignment="1">
      <alignment vertical="center"/>
    </xf>
    <xf numFmtId="181" fontId="0" fillId="0" borderId="118" xfId="8" applyNumberFormat="1" applyFont="1" applyBorder="1" applyAlignment="1">
      <alignment vertical="center"/>
    </xf>
    <xf numFmtId="9" fontId="0" fillId="0" borderId="118" xfId="0" applyNumberFormat="1" applyBorder="1" applyAlignment="1">
      <alignment horizontal="right" vertical="center" indent="2"/>
    </xf>
    <xf numFmtId="0" fontId="12" fillId="0" borderId="142" xfId="0" applyFont="1" applyBorder="1" applyAlignment="1">
      <alignment horizontal="left" vertical="center" indent="1"/>
    </xf>
    <xf numFmtId="0" fontId="0" fillId="0" borderId="143" xfId="0" applyBorder="1" applyAlignment="1">
      <alignment vertical="center"/>
    </xf>
    <xf numFmtId="181" fontId="0" fillId="0" borderId="121" xfId="8" applyNumberFormat="1" applyFont="1" applyBorder="1" applyAlignment="1">
      <alignment vertical="center"/>
    </xf>
    <xf numFmtId="180" fontId="0" fillId="49" borderId="114" xfId="0" applyNumberFormat="1" applyFill="1" applyBorder="1" applyAlignment="1">
      <alignment vertical="center"/>
    </xf>
    <xf numFmtId="180" fontId="0" fillId="49" borderId="115" xfId="0" applyNumberFormat="1" applyFill="1" applyBorder="1" applyAlignment="1">
      <alignment vertical="center"/>
    </xf>
    <xf numFmtId="169" fontId="0" fillId="0" borderId="118" xfId="3" applyNumberFormat="1" applyFont="1" applyBorder="1" applyAlignment="1">
      <alignment horizontal="right" vertical="center"/>
    </xf>
    <xf numFmtId="181" fontId="0" fillId="0" borderId="133" xfId="8" applyNumberFormat="1" applyFont="1" applyBorder="1" applyAlignment="1">
      <alignment vertical="center"/>
    </xf>
    <xf numFmtId="169" fontId="0" fillId="0" borderId="134" xfId="3" applyNumberFormat="1" applyFont="1" applyBorder="1" applyAlignment="1">
      <alignment horizontal="right" vertical="center"/>
    </xf>
    <xf numFmtId="181" fontId="13" fillId="17" borderId="93" xfId="8" applyNumberFormat="1" applyFont="1" applyFill="1" applyBorder="1" applyAlignment="1">
      <alignment vertical="center"/>
    </xf>
    <xf numFmtId="169" fontId="13" fillId="17" borderId="83" xfId="3" applyNumberFormat="1" applyFont="1" applyFill="1" applyBorder="1" applyAlignment="1">
      <alignment horizontal="right" vertical="center"/>
    </xf>
    <xf numFmtId="175" fontId="0" fillId="0" borderId="117" xfId="8" applyNumberFormat="1" applyFont="1" applyBorder="1" applyAlignment="1">
      <alignment vertical="center"/>
    </xf>
    <xf numFmtId="175" fontId="0" fillId="0" borderId="118" xfId="8" applyNumberFormat="1" applyFont="1" applyBorder="1" applyAlignment="1">
      <alignment vertical="center"/>
    </xf>
    <xf numFmtId="175" fontId="0" fillId="0" borderId="120" xfId="8" applyNumberFormat="1" applyFont="1" applyBorder="1" applyAlignment="1">
      <alignment vertical="center"/>
    </xf>
    <xf numFmtId="175" fontId="0" fillId="0" borderId="121" xfId="8" applyNumberFormat="1" applyFont="1" applyBorder="1" applyAlignment="1">
      <alignment vertical="center"/>
    </xf>
    <xf numFmtId="180" fontId="1" fillId="0" borderId="21" xfId="315" applyNumberFormat="1" applyFont="1" applyBorder="1" applyAlignment="1">
      <alignment vertical="center"/>
    </xf>
    <xf numFmtId="180" fontId="1" fillId="0" borderId="13" xfId="315" applyNumberFormat="1" applyFont="1" applyBorder="1" applyAlignment="1">
      <alignment vertical="center"/>
    </xf>
    <xf numFmtId="0" fontId="1" fillId="0" borderId="59" xfId="0" applyFont="1" applyBorder="1" applyAlignment="1">
      <alignment horizontal="left" vertical="center" indent="1"/>
    </xf>
    <xf numFmtId="168" fontId="0" fillId="0" borderId="123" xfId="1" applyNumberFormat="1" applyFont="1" applyBorder="1" applyAlignment="1">
      <alignment horizontal="center" vertical="center"/>
    </xf>
    <xf numFmtId="168" fontId="0" fillId="0" borderId="69" xfId="1" applyNumberFormat="1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 vertical="center" indent="1"/>
    </xf>
    <xf numFmtId="177" fontId="4" fillId="0" borderId="120" xfId="8" applyNumberFormat="1" applyFont="1" applyFill="1" applyBorder="1" applyAlignment="1">
      <alignment vertical="center"/>
    </xf>
    <xf numFmtId="10" fontId="4" fillId="0" borderId="18" xfId="3" applyNumberFormat="1" applyFont="1" applyFill="1" applyBorder="1" applyAlignment="1">
      <alignment vertical="center"/>
    </xf>
    <xf numFmtId="177" fontId="4" fillId="50" borderId="114" xfId="8" applyNumberFormat="1" applyFont="1" applyFill="1" applyBorder="1" applyAlignment="1">
      <alignment vertical="center"/>
    </xf>
    <xf numFmtId="0" fontId="1" fillId="0" borderId="58" xfId="313" applyFont="1" applyBorder="1" applyAlignment="1">
      <alignment horizontal="left" vertical="center" indent="1"/>
    </xf>
    <xf numFmtId="0" fontId="1" fillId="0" borderId="59" xfId="313" applyFont="1" applyBorder="1" applyAlignment="1">
      <alignment horizontal="left" vertical="center" indent="1"/>
    </xf>
    <xf numFmtId="181" fontId="0" fillId="0" borderId="93" xfId="8" applyNumberFormat="1" applyFont="1" applyBorder="1" applyAlignment="1">
      <alignment vertical="center"/>
    </xf>
    <xf numFmtId="169" fontId="0" fillId="0" borderId="134" xfId="3" applyNumberFormat="1" applyFont="1" applyBorder="1" applyAlignment="1">
      <alignment horizontal="right" vertical="center" indent="1"/>
    </xf>
    <xf numFmtId="169" fontId="0" fillId="0" borderId="83" xfId="3" applyNumberFormat="1" applyFont="1" applyBorder="1" applyAlignment="1">
      <alignment horizontal="right" vertical="center" indent="1"/>
    </xf>
    <xf numFmtId="181" fontId="0" fillId="0" borderId="0" xfId="0" applyNumberFormat="1" applyAlignment="1">
      <alignment vertical="center"/>
    </xf>
    <xf numFmtId="171" fontId="13" fillId="0" borderId="0" xfId="0" applyNumberFormat="1" applyFont="1" applyAlignment="1">
      <alignment vertical="center"/>
    </xf>
    <xf numFmtId="188" fontId="1" fillId="0" borderId="21" xfId="8" applyNumberFormat="1" applyFont="1" applyBorder="1" applyAlignment="1">
      <alignment vertical="center"/>
    </xf>
    <xf numFmtId="188" fontId="1" fillId="0" borderId="13" xfId="8" applyNumberFormat="1" applyFont="1" applyBorder="1" applyAlignment="1">
      <alignment vertical="center"/>
    </xf>
    <xf numFmtId="188" fontId="23" fillId="17" borderId="38" xfId="8" applyNumberFormat="1" applyFont="1" applyFill="1" applyBorder="1" applyAlignment="1">
      <alignment vertical="center"/>
    </xf>
    <xf numFmtId="188" fontId="23" fillId="17" borderId="29" xfId="8" applyNumberFormat="1" applyFont="1" applyFill="1" applyBorder="1" applyAlignment="1">
      <alignment vertical="center"/>
    </xf>
    <xf numFmtId="188" fontId="1" fillId="0" borderId="126" xfId="8" applyNumberFormat="1" applyFont="1" applyBorder="1" applyAlignment="1">
      <alignment vertical="center"/>
    </xf>
    <xf numFmtId="180" fontId="4" fillId="0" borderId="117" xfId="8" applyNumberFormat="1" applyFont="1" applyBorder="1" applyAlignment="1">
      <alignment vertical="center"/>
    </xf>
    <xf numFmtId="180" fontId="4" fillId="0" borderId="114" xfId="8" applyNumberFormat="1" applyFont="1" applyBorder="1" applyAlignment="1">
      <alignment vertical="center"/>
    </xf>
    <xf numFmtId="180" fontId="4" fillId="49" borderId="114" xfId="8" applyNumberFormat="1" applyFont="1" applyFill="1" applyBorder="1" applyAlignment="1">
      <alignment vertical="center"/>
    </xf>
    <xf numFmtId="180" fontId="4" fillId="49" borderId="115" xfId="8" applyNumberFormat="1" applyFont="1" applyFill="1" applyBorder="1" applyAlignment="1">
      <alignment vertical="center"/>
    </xf>
    <xf numFmtId="180" fontId="4" fillId="0" borderId="118" xfId="8" applyNumberFormat="1" applyFont="1" applyBorder="1" applyAlignment="1">
      <alignment vertical="center"/>
    </xf>
    <xf numFmtId="180" fontId="4" fillId="0" borderId="120" xfId="8" applyNumberFormat="1" applyFont="1" applyBorder="1" applyAlignment="1">
      <alignment vertical="center"/>
    </xf>
    <xf numFmtId="180" fontId="4" fillId="0" borderId="121" xfId="8" applyNumberFormat="1" applyFont="1" applyBorder="1" applyAlignment="1">
      <alignment vertical="center"/>
    </xf>
    <xf numFmtId="183" fontId="0" fillId="0" borderId="0" xfId="3" applyNumberFormat="1" applyFont="1"/>
    <xf numFmtId="172" fontId="4" fillId="0" borderId="0" xfId="8" applyNumberFormat="1" applyFont="1" applyFill="1" applyBorder="1" applyAlignment="1">
      <alignment vertical="center"/>
    </xf>
    <xf numFmtId="0" fontId="4" fillId="0" borderId="84" xfId="0" applyFont="1" applyBorder="1" applyAlignment="1">
      <alignment horizontal="center" vertical="center"/>
    </xf>
    <xf numFmtId="180" fontId="4" fillId="0" borderId="42" xfId="8" applyNumberFormat="1" applyFont="1" applyBorder="1" applyAlignment="1">
      <alignment vertical="center"/>
    </xf>
    <xf numFmtId="180" fontId="4" fillId="0" borderId="22" xfId="8" applyNumberFormat="1" applyFont="1" applyFill="1" applyBorder="1" applyAlignment="1">
      <alignment vertical="center"/>
    </xf>
    <xf numFmtId="180" fontId="4" fillId="0" borderId="14" xfId="8" applyNumberFormat="1" applyFont="1" applyFill="1" applyBorder="1" applyAlignment="1">
      <alignment vertical="center"/>
    </xf>
    <xf numFmtId="188" fontId="1" fillId="0" borderId="52" xfId="8" applyNumberFormat="1" applyFont="1" applyBorder="1" applyAlignment="1">
      <alignment vertical="center"/>
    </xf>
    <xf numFmtId="188" fontId="1" fillId="0" borderId="130" xfId="8" applyNumberFormat="1" applyFont="1" applyBorder="1" applyAlignment="1">
      <alignment vertical="center"/>
    </xf>
    <xf numFmtId="188" fontId="23" fillId="17" borderId="102" xfId="8" applyNumberFormat="1" applyFont="1" applyFill="1" applyBorder="1" applyAlignment="1">
      <alignment vertical="center"/>
    </xf>
    <xf numFmtId="189" fontId="4" fillId="0" borderId="118" xfId="8" applyNumberFormat="1" applyFont="1" applyBorder="1" applyAlignment="1">
      <alignment vertical="center"/>
    </xf>
    <xf numFmtId="177" fontId="4" fillId="0" borderId="117" xfId="8" applyNumberFormat="1" applyFont="1" applyFill="1" applyBorder="1" applyAlignment="1">
      <alignment vertical="center"/>
    </xf>
    <xf numFmtId="180" fontId="0" fillId="0" borderId="15" xfId="0" applyNumberFormat="1" applyBorder="1"/>
    <xf numFmtId="181" fontId="13" fillId="0" borderId="37" xfId="8" applyNumberFormat="1" applyFont="1" applyFill="1" applyBorder="1" applyAlignment="1">
      <alignment vertical="center"/>
    </xf>
    <xf numFmtId="181" fontId="13" fillId="0" borderId="70" xfId="8" applyNumberFormat="1" applyFont="1" applyBorder="1" applyAlignment="1">
      <alignment vertical="center"/>
    </xf>
    <xf numFmtId="181" fontId="13" fillId="0" borderId="14" xfId="8" applyNumberFormat="1" applyFont="1" applyBorder="1" applyAlignment="1">
      <alignment vertical="center"/>
    </xf>
    <xf numFmtId="181" fontId="13" fillId="0" borderId="43" xfId="8" applyNumberFormat="1" applyFont="1" applyBorder="1" applyAlignment="1">
      <alignment vertical="center"/>
    </xf>
    <xf numFmtId="181" fontId="13" fillId="0" borderId="44" xfId="8" applyNumberFormat="1" applyFont="1" applyBorder="1" applyAlignment="1">
      <alignment vertical="center"/>
    </xf>
    <xf numFmtId="181" fontId="0" fillId="0" borderId="32" xfId="8" applyNumberFormat="1" applyFont="1" applyFill="1" applyBorder="1" applyAlignment="1">
      <alignment vertical="center"/>
    </xf>
    <xf numFmtId="181" fontId="0" fillId="0" borderId="97" xfId="8" applyNumberFormat="1" applyFont="1" applyFill="1" applyBorder="1" applyAlignment="1">
      <alignment vertical="center"/>
    </xf>
    <xf numFmtId="181" fontId="0" fillId="0" borderId="98" xfId="8" applyNumberFormat="1" applyFont="1" applyFill="1" applyBorder="1" applyAlignment="1">
      <alignment vertical="center"/>
    </xf>
    <xf numFmtId="181" fontId="0" fillId="0" borderId="41" xfId="8" applyNumberFormat="1" applyFont="1" applyFill="1" applyBorder="1" applyAlignment="1">
      <alignment vertical="center"/>
    </xf>
    <xf numFmtId="181" fontId="0" fillId="0" borderId="22" xfId="8" applyNumberFormat="1" applyFont="1" applyFill="1" applyBorder="1" applyAlignment="1">
      <alignment vertical="center"/>
    </xf>
    <xf numFmtId="181" fontId="0" fillId="0" borderId="42" xfId="8" applyNumberFormat="1" applyFont="1" applyFill="1" applyBorder="1" applyAlignment="1">
      <alignment vertical="center"/>
    </xf>
    <xf numFmtId="181" fontId="0" fillId="0" borderId="23" xfId="8" applyNumberFormat="1" applyFont="1" applyFill="1" applyBorder="1" applyAlignment="1">
      <alignment vertical="center"/>
    </xf>
    <xf numFmtId="181" fontId="0" fillId="0" borderId="22" xfId="198" applyNumberFormat="1" applyFont="1" applyBorder="1" applyAlignment="1">
      <alignment vertical="center"/>
    </xf>
    <xf numFmtId="181" fontId="0" fillId="0" borderId="13" xfId="198" applyNumberFormat="1" applyFont="1" applyBorder="1" applyAlignment="1">
      <alignment vertical="center"/>
    </xf>
    <xf numFmtId="181" fontId="0" fillId="0" borderId="14" xfId="198" applyNumberFormat="1" applyFont="1" applyBorder="1" applyAlignment="1">
      <alignment vertical="center"/>
    </xf>
    <xf numFmtId="181" fontId="0" fillId="0" borderId="23" xfId="198" applyNumberFormat="1" applyFont="1" applyBorder="1" applyAlignment="1">
      <alignment vertical="center"/>
    </xf>
    <xf numFmtId="181" fontId="0" fillId="0" borderId="15" xfId="198" applyNumberFormat="1" applyFont="1" applyBorder="1" applyAlignment="1">
      <alignment vertical="center"/>
    </xf>
    <xf numFmtId="181" fontId="13" fillId="0" borderId="0" xfId="198" applyNumberFormat="1" applyFont="1" applyAlignment="1">
      <alignment vertical="center"/>
    </xf>
    <xf numFmtId="181" fontId="0" fillId="0" borderId="0" xfId="198" applyNumberFormat="1" applyFont="1" applyAlignment="1">
      <alignment vertical="center"/>
    </xf>
    <xf numFmtId="181" fontId="13" fillId="17" borderId="20" xfId="198" applyNumberFormat="1" applyFont="1" applyFill="1" applyBorder="1" applyAlignment="1">
      <alignment vertical="center"/>
    </xf>
    <xf numFmtId="181" fontId="13" fillId="17" borderId="17" xfId="198" applyNumberFormat="1" applyFont="1" applyFill="1" applyBorder="1" applyAlignment="1">
      <alignment vertical="center"/>
    </xf>
    <xf numFmtId="169" fontId="0" fillId="0" borderId="18" xfId="3" applyNumberFormat="1" applyFont="1" applyFill="1" applyBorder="1" applyAlignment="1">
      <alignment horizontal="right" vertical="center" indent="1"/>
    </xf>
    <xf numFmtId="169" fontId="0" fillId="0" borderId="14" xfId="3" applyNumberFormat="1" applyFont="1" applyFill="1" applyBorder="1" applyAlignment="1">
      <alignment horizontal="right" vertical="center" indent="1"/>
    </xf>
    <xf numFmtId="169" fontId="0" fillId="0" borderId="19" xfId="3" applyNumberFormat="1" applyFont="1" applyFill="1" applyBorder="1" applyAlignment="1">
      <alignment horizontal="right" vertical="center" indent="1"/>
    </xf>
    <xf numFmtId="169" fontId="0" fillId="0" borderId="15" xfId="3" applyNumberFormat="1" applyFont="1" applyFill="1" applyBorder="1" applyAlignment="1">
      <alignment horizontal="right" vertical="center" indent="1"/>
    </xf>
    <xf numFmtId="169" fontId="20" fillId="0" borderId="0" xfId="0" applyNumberFormat="1" applyFont="1" applyAlignment="1">
      <alignment vertical="center"/>
    </xf>
    <xf numFmtId="187" fontId="1" fillId="0" borderId="21" xfId="8" applyNumberFormat="1" applyFont="1" applyBorder="1" applyAlignment="1">
      <alignment vertical="center"/>
    </xf>
    <xf numFmtId="187" fontId="1" fillId="0" borderId="13" xfId="8" applyNumberFormat="1" applyFont="1" applyBorder="1" applyAlignment="1">
      <alignment vertical="center"/>
    </xf>
    <xf numFmtId="187" fontId="1" fillId="0" borderId="126" xfId="8" applyNumberFormat="1" applyFont="1" applyBorder="1" applyAlignment="1">
      <alignment vertical="center"/>
    </xf>
    <xf numFmtId="187" fontId="1" fillId="0" borderId="131" xfId="8" applyNumberFormat="1" applyFont="1" applyBorder="1" applyAlignment="1">
      <alignment vertical="center"/>
    </xf>
    <xf numFmtId="187" fontId="23" fillId="17" borderId="38" xfId="8" applyNumberFormat="1" applyFont="1" applyFill="1" applyBorder="1" applyAlignment="1">
      <alignment vertical="center"/>
    </xf>
    <xf numFmtId="187" fontId="23" fillId="17" borderId="29" xfId="8" applyNumberFormat="1" applyFont="1" applyFill="1" applyBorder="1" applyAlignment="1">
      <alignment vertical="center"/>
    </xf>
    <xf numFmtId="183" fontId="1" fillId="0" borderId="0" xfId="313" applyNumberFormat="1" applyFont="1"/>
    <xf numFmtId="9" fontId="13" fillId="0" borderId="0" xfId="3" applyFont="1" applyAlignment="1">
      <alignment vertical="center"/>
    </xf>
    <xf numFmtId="0" fontId="66" fillId="0" borderId="0" xfId="0" applyFont="1" applyAlignment="1">
      <alignment vertical="center"/>
    </xf>
    <xf numFmtId="0" fontId="25" fillId="0" borderId="151" xfId="0" applyFont="1" applyBorder="1" applyAlignment="1">
      <alignment vertical="center"/>
    </xf>
    <xf numFmtId="171" fontId="25" fillId="0" borderId="152" xfId="198" applyNumberFormat="1" applyFont="1" applyFill="1" applyBorder="1" applyAlignment="1">
      <alignment horizontal="right" vertical="center" indent="1"/>
    </xf>
    <xf numFmtId="0" fontId="12" fillId="0" borderId="150" xfId="0" applyFont="1" applyBorder="1" applyAlignment="1">
      <alignment horizontal="left" vertical="center" indent="3"/>
    </xf>
    <xf numFmtId="171" fontId="1" fillId="0" borderId="141" xfId="198" applyNumberFormat="1" applyFont="1" applyFill="1" applyBorder="1" applyAlignment="1">
      <alignment vertical="center"/>
    </xf>
    <xf numFmtId="171" fontId="27" fillId="0" borderId="141" xfId="198" applyNumberFormat="1" applyFont="1" applyFill="1" applyBorder="1" applyAlignment="1">
      <alignment vertical="center"/>
    </xf>
    <xf numFmtId="171" fontId="25" fillId="0" borderId="64" xfId="198" applyNumberFormat="1" applyFont="1" applyFill="1" applyBorder="1" applyAlignment="1">
      <alignment vertical="center"/>
    </xf>
    <xf numFmtId="171" fontId="25" fillId="0" borderId="144" xfId="198" applyNumberFormat="1" applyFont="1" applyFill="1" applyBorder="1" applyAlignment="1">
      <alignment vertical="center"/>
    </xf>
    <xf numFmtId="171" fontId="26" fillId="51" borderId="86" xfId="198" applyNumberFormat="1" applyFont="1" applyFill="1" applyBorder="1" applyAlignment="1">
      <alignment vertical="center"/>
    </xf>
    <xf numFmtId="171" fontId="32" fillId="51" borderId="30" xfId="198" applyNumberFormat="1" applyFont="1" applyFill="1" applyBorder="1" applyAlignment="1">
      <alignment horizontal="center" vertical="center" wrapText="1"/>
    </xf>
    <xf numFmtId="171" fontId="32" fillId="51" borderId="86" xfId="198" applyNumberFormat="1" applyFont="1" applyFill="1" applyBorder="1" applyAlignment="1">
      <alignment vertical="center"/>
    </xf>
    <xf numFmtId="167" fontId="0" fillId="0" borderId="21" xfId="8" applyFont="1" applyBorder="1"/>
    <xf numFmtId="167" fontId="0" fillId="0" borderId="13" xfId="8" applyFont="1" applyBorder="1"/>
    <xf numFmtId="167" fontId="0" fillId="0" borderId="22" xfId="8" applyFont="1" applyBorder="1"/>
    <xf numFmtId="167" fontId="0" fillId="0" borderId="14" xfId="8" applyFont="1" applyBorder="1"/>
    <xf numFmtId="167" fontId="0" fillId="0" borderId="23" xfId="8" applyFont="1" applyBorder="1"/>
    <xf numFmtId="167" fontId="0" fillId="0" borderId="15" xfId="8" applyFont="1" applyBorder="1"/>
    <xf numFmtId="172" fontId="23" fillId="0" borderId="81" xfId="0" applyNumberFormat="1" applyFont="1" applyBorder="1" applyAlignment="1">
      <alignment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72" fontId="22" fillId="51" borderId="66" xfId="8" applyNumberFormat="1" applyFont="1" applyFill="1" applyBorder="1" applyAlignment="1">
      <alignment horizontal="center" vertical="center"/>
    </xf>
    <xf numFmtId="172" fontId="22" fillId="51" borderId="96" xfId="8" applyNumberFormat="1" applyFont="1" applyFill="1" applyBorder="1" applyAlignment="1">
      <alignment horizontal="center" vertical="center"/>
    </xf>
    <xf numFmtId="172" fontId="22" fillId="51" borderId="99" xfId="8" applyNumberFormat="1" applyFont="1" applyFill="1" applyBorder="1" applyAlignment="1">
      <alignment horizontal="center" vertical="center"/>
    </xf>
    <xf numFmtId="172" fontId="22" fillId="51" borderId="54" xfId="8" applyNumberFormat="1" applyFont="1" applyFill="1" applyBorder="1" applyAlignment="1">
      <alignment horizontal="centerContinuous" vertical="center" wrapText="1"/>
    </xf>
    <xf numFmtId="172" fontId="22" fillId="51" borderId="55" xfId="8" applyNumberFormat="1" applyFont="1" applyFill="1" applyBorder="1" applyAlignment="1">
      <alignment horizontal="centerContinuous" vertical="center" wrapText="1"/>
    </xf>
    <xf numFmtId="172" fontId="22" fillId="51" borderId="109" xfId="8" applyNumberFormat="1" applyFont="1" applyFill="1" applyBorder="1" applyAlignment="1">
      <alignment horizontal="center" vertical="center"/>
    </xf>
    <xf numFmtId="172" fontId="22" fillId="51" borderId="110" xfId="8" applyNumberFormat="1" applyFont="1" applyFill="1" applyBorder="1" applyAlignment="1">
      <alignment horizontal="center" vertical="center"/>
    </xf>
    <xf numFmtId="0" fontId="22" fillId="51" borderId="35" xfId="0" applyFont="1" applyFill="1" applyBorder="1" applyAlignment="1">
      <alignment horizontal="centerContinuous" vertical="center"/>
    </xf>
    <xf numFmtId="0" fontId="22" fillId="51" borderId="10" xfId="0" applyFont="1" applyFill="1" applyBorder="1" applyAlignment="1">
      <alignment horizontal="centerContinuous" vertical="center"/>
    </xf>
    <xf numFmtId="0" fontId="22" fillId="51" borderId="36" xfId="0" applyFont="1" applyFill="1" applyBorder="1" applyAlignment="1">
      <alignment horizontal="centerContinuous" vertical="center"/>
    </xf>
    <xf numFmtId="166" fontId="13" fillId="0" borderId="0" xfId="0" applyNumberFormat="1" applyFont="1" applyAlignment="1">
      <alignment vertical="center"/>
    </xf>
    <xf numFmtId="167" fontId="0" fillId="0" borderId="114" xfId="8" applyFont="1" applyBorder="1"/>
    <xf numFmtId="167" fontId="0" fillId="0" borderId="117" xfId="8" applyFont="1" applyBorder="1"/>
    <xf numFmtId="167" fontId="0" fillId="0" borderId="120" xfId="8" applyFont="1" applyBorder="1"/>
    <xf numFmtId="167" fontId="13" fillId="17" borderId="24" xfId="8" applyFont="1" applyFill="1" applyBorder="1" applyAlignment="1">
      <alignment vertical="center"/>
    </xf>
    <xf numFmtId="167" fontId="0" fillId="0" borderId="113" xfId="8" applyFont="1" applyBorder="1"/>
    <xf numFmtId="167" fontId="0" fillId="0" borderId="115" xfId="8" applyFont="1" applyBorder="1"/>
    <xf numFmtId="167" fontId="0" fillId="0" borderId="116" xfId="8" applyFont="1" applyBorder="1"/>
    <xf numFmtId="167" fontId="0" fillId="0" borderId="118" xfId="8" applyFont="1" applyBorder="1"/>
    <xf numFmtId="167" fontId="0" fillId="0" borderId="119" xfId="8" applyFont="1" applyBorder="1"/>
    <xf numFmtId="167" fontId="0" fillId="0" borderId="121" xfId="8" applyFont="1" applyBorder="1"/>
    <xf numFmtId="0" fontId="32" fillId="51" borderId="5" xfId="0" applyFont="1" applyFill="1" applyBorder="1" applyAlignment="1">
      <alignment horizontal="center" vertical="center"/>
    </xf>
    <xf numFmtId="0" fontId="32" fillId="51" borderId="7" xfId="0" applyFont="1" applyFill="1" applyBorder="1" applyAlignment="1">
      <alignment horizontal="centerContinuous" vertical="center" wrapText="1"/>
    </xf>
    <xf numFmtId="0" fontId="15" fillId="51" borderId="8" xfId="0" applyFont="1" applyFill="1" applyBorder="1" applyAlignment="1">
      <alignment horizontal="center" vertical="center" wrapText="1"/>
    </xf>
    <xf numFmtId="0" fontId="15" fillId="51" borderId="9" xfId="0" applyFont="1" applyFill="1" applyBorder="1" applyAlignment="1">
      <alignment horizontal="center" vertical="center" wrapText="1"/>
    </xf>
    <xf numFmtId="0" fontId="15" fillId="51" borderId="6" xfId="0" applyFont="1" applyFill="1" applyBorder="1" applyAlignment="1">
      <alignment horizontal="centerContinuous" vertical="center" wrapText="1"/>
    </xf>
    <xf numFmtId="0" fontId="15" fillId="51" borderId="7" xfId="0" applyFont="1" applyFill="1" applyBorder="1" applyAlignment="1">
      <alignment horizontal="centerContinuous" vertical="center" wrapText="1"/>
    </xf>
    <xf numFmtId="0" fontId="15" fillId="51" borderId="8" xfId="0" applyFont="1" applyFill="1" applyBorder="1" applyAlignment="1">
      <alignment horizontal="centerContinuous" vertical="center" wrapText="1"/>
    </xf>
    <xf numFmtId="0" fontId="15" fillId="51" borderId="9" xfId="0" applyFont="1" applyFill="1" applyBorder="1" applyAlignment="1">
      <alignment horizontal="centerContinuous" vertical="center" wrapText="1"/>
    </xf>
    <xf numFmtId="0" fontId="32" fillId="51" borderId="61" xfId="210" applyFont="1" applyFill="1" applyBorder="1" applyAlignment="1">
      <alignment horizontal="center" vertical="center" wrapText="1"/>
    </xf>
    <xf numFmtId="0" fontId="32" fillId="51" borderId="62" xfId="210" applyFont="1" applyFill="1" applyBorder="1" applyAlignment="1">
      <alignment horizontal="center" vertical="center" wrapText="1"/>
    </xf>
    <xf numFmtId="0" fontId="32" fillId="51" borderId="90" xfId="210" applyFont="1" applyFill="1" applyBorder="1" applyAlignment="1">
      <alignment horizontal="center" vertical="center" wrapText="1"/>
    </xf>
    <xf numFmtId="0" fontId="32" fillId="51" borderId="63" xfId="210" applyFont="1" applyFill="1" applyBorder="1" applyAlignment="1">
      <alignment horizontal="center" vertical="center" wrapText="1"/>
    </xf>
    <xf numFmtId="0" fontId="32" fillId="51" borderId="87" xfId="0" applyFont="1" applyFill="1" applyBorder="1" applyAlignment="1">
      <alignment horizontal="centerContinuous" vertical="center"/>
    </xf>
    <xf numFmtId="0" fontId="32" fillId="51" borderId="88" xfId="0" applyFont="1" applyFill="1" applyBorder="1" applyAlignment="1">
      <alignment horizontal="centerContinuous" vertical="center"/>
    </xf>
    <xf numFmtId="0" fontId="32" fillId="51" borderId="89" xfId="0" applyFont="1" applyFill="1" applyBorder="1" applyAlignment="1">
      <alignment horizontal="centerContinuous" vertical="center"/>
    </xf>
    <xf numFmtId="0" fontId="32" fillId="51" borderId="106" xfId="0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107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0" fontId="22" fillId="51" borderId="54" xfId="0" applyFont="1" applyFill="1" applyBorder="1" applyAlignment="1">
      <alignment horizontal="centerContinuous" vertical="center" wrapText="1"/>
    </xf>
    <xf numFmtId="0" fontId="22" fillId="51" borderId="55" xfId="0" applyFont="1" applyFill="1" applyBorder="1" applyAlignment="1">
      <alignment horizontal="centerContinuous" vertical="center" wrapText="1"/>
    </xf>
    <xf numFmtId="0" fontId="22" fillId="51" borderId="56" xfId="0" applyFont="1" applyFill="1" applyBorder="1" applyAlignment="1">
      <alignment horizontal="center" vertical="center" wrapText="1"/>
    </xf>
    <xf numFmtId="0" fontId="22" fillId="51" borderId="153" xfId="0" applyFont="1" applyFill="1" applyBorder="1" applyAlignment="1">
      <alignment horizontal="center" vertical="center" wrapText="1"/>
    </xf>
    <xf numFmtId="0" fontId="22" fillId="51" borderId="154" xfId="0" applyFont="1" applyFill="1" applyBorder="1" applyAlignment="1">
      <alignment horizontal="center" vertical="center" wrapText="1"/>
    </xf>
    <xf numFmtId="0" fontId="22" fillId="51" borderId="155" xfId="0" applyFont="1" applyFill="1" applyBorder="1" applyAlignment="1">
      <alignment horizontal="center" vertical="center" wrapText="1"/>
    </xf>
    <xf numFmtId="172" fontId="22" fillId="51" borderId="56" xfId="8" applyNumberFormat="1" applyFont="1" applyFill="1" applyBorder="1" applyAlignment="1">
      <alignment horizontal="centerContinuous" vertical="center" wrapText="1"/>
    </xf>
    <xf numFmtId="172" fontId="22" fillId="51" borderId="108" xfId="8" applyNumberFormat="1" applyFont="1" applyFill="1" applyBorder="1" applyAlignment="1">
      <alignment horizontal="center" vertical="center"/>
    </xf>
    <xf numFmtId="172" fontId="22" fillId="51" borderId="109" xfId="8" applyNumberFormat="1" applyFont="1" applyFill="1" applyBorder="1" applyAlignment="1">
      <alignment horizontal="center" vertical="center" wrapText="1"/>
    </xf>
    <xf numFmtId="172" fontId="22" fillId="51" borderId="110" xfId="8" applyNumberFormat="1" applyFont="1" applyFill="1" applyBorder="1" applyAlignment="1">
      <alignment horizontal="center" vertical="center" wrapText="1"/>
    </xf>
    <xf numFmtId="172" fontId="22" fillId="51" borderId="108" xfId="8" applyNumberFormat="1" applyFont="1" applyFill="1" applyBorder="1" applyAlignment="1">
      <alignment horizontal="center" vertical="center" wrapText="1"/>
    </xf>
    <xf numFmtId="172" fontId="22" fillId="51" borderId="54" xfId="315" applyNumberFormat="1" applyFont="1" applyFill="1" applyBorder="1" applyAlignment="1">
      <alignment horizontal="centerContinuous" vertical="center" wrapText="1"/>
    </xf>
    <xf numFmtId="172" fontId="22" fillId="51" borderId="55" xfId="315" applyNumberFormat="1" applyFont="1" applyFill="1" applyBorder="1" applyAlignment="1">
      <alignment horizontal="centerContinuous" vertical="center" wrapText="1"/>
    </xf>
    <xf numFmtId="172" fontId="22" fillId="51" borderId="109" xfId="315" applyNumberFormat="1" applyFont="1" applyFill="1" applyBorder="1" applyAlignment="1">
      <alignment horizontal="center" vertical="center"/>
    </xf>
    <xf numFmtId="172" fontId="22" fillId="51" borderId="110" xfId="315" applyNumberFormat="1" applyFont="1" applyFill="1" applyBorder="1" applyAlignment="1">
      <alignment horizontal="center" vertical="center"/>
    </xf>
    <xf numFmtId="172" fontId="22" fillId="51" borderId="57" xfId="315" applyNumberFormat="1" applyFont="1" applyFill="1" applyBorder="1" applyAlignment="1">
      <alignment horizontal="center" vertical="center" wrapText="1"/>
    </xf>
    <xf numFmtId="172" fontId="22" fillId="51" borderId="122" xfId="315" applyNumberFormat="1" applyFont="1" applyFill="1" applyBorder="1" applyAlignment="1">
      <alignment horizontal="center" vertical="center" wrapText="1"/>
    </xf>
    <xf numFmtId="172" fontId="22" fillId="51" borderId="128" xfId="315" applyNumberFormat="1" applyFont="1" applyFill="1" applyBorder="1" applyAlignment="1">
      <alignment horizontal="centerContinuous" vertical="center" wrapText="1"/>
    </xf>
    <xf numFmtId="166" fontId="23" fillId="50" borderId="30" xfId="1" applyFont="1" applyFill="1" applyBorder="1" applyAlignment="1">
      <alignment vertical="center"/>
    </xf>
    <xf numFmtId="168" fontId="12" fillId="0" borderId="123" xfId="1" applyNumberFormat="1" applyFont="1" applyBorder="1" applyAlignment="1">
      <alignment horizontal="center" vertical="center"/>
    </xf>
    <xf numFmtId="168" fontId="0" fillId="0" borderId="123" xfId="1" applyNumberFormat="1" applyFont="1" applyBorder="1" applyAlignment="1">
      <alignment horizontal="center" vertical="center"/>
    </xf>
    <xf numFmtId="168" fontId="0" fillId="0" borderId="27" xfId="1" applyNumberFormat="1" applyFont="1" applyBorder="1" applyAlignment="1">
      <alignment horizontal="center" vertical="center"/>
    </xf>
    <xf numFmtId="0" fontId="15" fillId="51" borderId="95" xfId="0" applyFont="1" applyFill="1" applyBorder="1" applyAlignment="1">
      <alignment horizontal="left" vertical="center" wrapText="1" indent="1"/>
    </xf>
    <xf numFmtId="0" fontId="15" fillId="51" borderId="111" xfId="0" applyFont="1" applyFill="1" applyBorder="1" applyAlignment="1">
      <alignment horizontal="left" vertical="center" wrapText="1" indent="1"/>
    </xf>
    <xf numFmtId="0" fontId="15" fillId="51" borderId="95" xfId="0" applyFont="1" applyFill="1" applyBorder="1" applyAlignment="1">
      <alignment horizontal="left" vertical="center" wrapText="1"/>
    </xf>
    <xf numFmtId="0" fontId="15" fillId="51" borderId="111" xfId="0" applyFont="1" applyFill="1" applyBorder="1" applyAlignment="1">
      <alignment horizontal="left" vertical="center" wrapText="1"/>
    </xf>
    <xf numFmtId="0" fontId="15" fillId="51" borderId="45" xfId="0" applyFont="1" applyFill="1" applyBorder="1" applyAlignment="1">
      <alignment horizontal="center" vertical="center" wrapText="1"/>
    </xf>
    <xf numFmtId="0" fontId="15" fillId="51" borderId="46" xfId="0" applyFont="1" applyFill="1" applyBorder="1" applyAlignment="1">
      <alignment horizontal="center" vertical="center" wrapText="1"/>
    </xf>
    <xf numFmtId="0" fontId="15" fillId="51" borderId="47" xfId="0" applyFont="1" applyFill="1" applyBorder="1" applyAlignment="1">
      <alignment horizontal="center" vertical="center"/>
    </xf>
    <xf numFmtId="0" fontId="15" fillId="51" borderId="48" xfId="0" applyFont="1" applyFill="1" applyBorder="1" applyAlignment="1">
      <alignment horizontal="center" vertical="center"/>
    </xf>
    <xf numFmtId="0" fontId="15" fillId="51" borderId="5" xfId="0" applyFont="1" applyFill="1" applyBorder="1" applyAlignment="1">
      <alignment horizontal="center" vertical="center"/>
    </xf>
    <xf numFmtId="0" fontId="15" fillId="51" borderId="40" xfId="0" applyFont="1" applyFill="1" applyBorder="1" applyAlignment="1">
      <alignment horizontal="center" vertical="center"/>
    </xf>
    <xf numFmtId="0" fontId="15" fillId="51" borderId="45" xfId="0" applyFont="1" applyFill="1" applyBorder="1" applyAlignment="1">
      <alignment horizontal="center" vertical="center"/>
    </xf>
    <xf numFmtId="0" fontId="15" fillId="51" borderId="46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0" fontId="22" fillId="51" borderId="16" xfId="0" applyFont="1" applyFill="1" applyBorder="1" applyAlignment="1">
      <alignment horizontal="center" vertical="center" wrapText="1"/>
    </xf>
    <xf numFmtId="0" fontId="22" fillId="51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08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2" xfId="0" applyFont="1" applyFill="1" applyBorder="1" applyAlignment="1">
      <alignment horizontal="left" vertical="center" wrapText="1"/>
    </xf>
    <xf numFmtId="0" fontId="32" fillId="2" borderId="135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3" xfId="0" applyFont="1" applyFill="1" applyBorder="1" applyAlignment="1">
      <alignment vertical="center" wrapText="1"/>
    </xf>
    <xf numFmtId="0" fontId="32" fillId="2" borderId="104" xfId="0" applyFont="1" applyFill="1" applyBorder="1" applyAlignment="1">
      <alignment vertical="center" wrapText="1"/>
    </xf>
    <xf numFmtId="0" fontId="32" fillId="2" borderId="105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172" fontId="22" fillId="51" borderId="49" xfId="8" applyNumberFormat="1" applyFont="1" applyFill="1" applyBorder="1" applyAlignment="1">
      <alignment horizontal="center" vertical="center" wrapText="1"/>
    </xf>
    <xf numFmtId="172" fontId="22" fillId="51" borderId="50" xfId="8" applyNumberFormat="1" applyFont="1" applyFill="1" applyBorder="1" applyAlignment="1">
      <alignment horizontal="center" vertical="center" wrapText="1"/>
    </xf>
    <xf numFmtId="172" fontId="22" fillId="51" borderId="122" xfId="8" applyNumberFormat="1" applyFont="1" applyFill="1" applyBorder="1" applyAlignment="1">
      <alignment horizontal="center" vertical="center" wrapText="1"/>
    </xf>
    <xf numFmtId="172" fontId="22" fillId="51" borderId="110" xfId="8" applyNumberFormat="1" applyFont="1" applyFill="1" applyBorder="1" applyAlignment="1">
      <alignment horizontal="center" vertical="center" wrapText="1"/>
    </xf>
    <xf numFmtId="172" fontId="22" fillId="51" borderId="57" xfId="8" applyNumberFormat="1" applyFont="1" applyFill="1" applyBorder="1" applyAlignment="1">
      <alignment horizontal="center" vertical="center" wrapText="1"/>
    </xf>
    <xf numFmtId="172" fontId="22" fillId="51" borderId="108" xfId="8" applyNumberFormat="1" applyFont="1" applyFill="1" applyBorder="1" applyAlignment="1">
      <alignment horizontal="center" vertical="center" wrapText="1"/>
    </xf>
    <xf numFmtId="172" fontId="22" fillId="51" borderId="49" xfId="315" applyNumberFormat="1" applyFont="1" applyFill="1" applyBorder="1" applyAlignment="1">
      <alignment horizontal="center" vertical="center" wrapText="1"/>
    </xf>
    <xf numFmtId="172" fontId="22" fillId="51" borderId="50" xfId="315" applyNumberFormat="1" applyFont="1" applyFill="1" applyBorder="1" applyAlignment="1">
      <alignment horizontal="center" vertical="center" wrapText="1"/>
    </xf>
    <xf numFmtId="172" fontId="22" fillId="51" borderId="16" xfId="315" applyNumberFormat="1" applyFont="1" applyFill="1" applyBorder="1" applyAlignment="1">
      <alignment horizontal="center" vertical="center" wrapText="1"/>
    </xf>
    <xf numFmtId="172" fontId="22" fillId="51" borderId="127" xfId="315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0" borderId="135" xfId="0" applyFont="1" applyBorder="1" applyAlignment="1">
      <alignment horizontal="left" wrapText="1"/>
    </xf>
  </cellXfs>
  <cellStyles count="318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3 4 2" xfId="317" xr:uid="{21156E3A-771B-475E-A442-A9426CFC85CD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6365C"/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9.9135318112209756</c:v>
                </c:pt>
                <c:pt idx="1">
                  <c:v>9.9985777578939246</c:v>
                </c:pt>
                <c:pt idx="2">
                  <c:v>3.0643497015563335</c:v>
                </c:pt>
                <c:pt idx="3">
                  <c:v>2.1766584966713887</c:v>
                </c:pt>
                <c:pt idx="4">
                  <c:v>1.3762629719299152E-2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25.29569327326849</c:v>
                </c:pt>
                <c:pt idx="1">
                  <c:v>24.060202830979037</c:v>
                </c:pt>
                <c:pt idx="2">
                  <c:v>12.548503740614427</c:v>
                </c:pt>
                <c:pt idx="3">
                  <c:v>8.7091552780529966</c:v>
                </c:pt>
                <c:pt idx="4">
                  <c:v>4.684106820311406E-2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20.245169118026435</c:v>
                </c:pt>
                <c:pt idx="1">
                  <c:v>20.114708986974474</c:v>
                </c:pt>
                <c:pt idx="2">
                  <c:v>8.7707166649244481</c:v>
                </c:pt>
                <c:pt idx="3">
                  <c:v>6.1426159898779797</c:v>
                </c:pt>
                <c:pt idx="4">
                  <c:v>3.7035845340058514E-2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14.290747702262713</c:v>
                </c:pt>
                <c:pt idx="1">
                  <c:v>13.879504360127724</c:v>
                </c:pt>
                <c:pt idx="2">
                  <c:v>7.24422690558597</c:v>
                </c:pt>
                <c:pt idx="3">
                  <c:v>4.9937114026361886</c:v>
                </c:pt>
                <c:pt idx="4">
                  <c:v>3.2529598250578433E-2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13.676246473940392</c:v>
                </c:pt>
                <c:pt idx="1">
                  <c:v>11.790831696286872</c:v>
                </c:pt>
                <c:pt idx="2">
                  <c:v>5.8163101845589313</c:v>
                </c:pt>
                <c:pt idx="3">
                  <c:v>4.456647458911978</c:v>
                </c:pt>
                <c:pt idx="4">
                  <c:v>2.924315309953809E-2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50.070442587974675</c:v>
                </c:pt>
                <c:pt idx="1">
                  <c:v>40.243756975668504</c:v>
                </c:pt>
                <c:pt idx="2">
                  <c:v>17.571485958610172</c:v>
                </c:pt>
                <c:pt idx="3">
                  <c:v>11.065917563549208</c:v>
                </c:pt>
                <c:pt idx="4">
                  <c:v>0.16348403661405736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52.708352718969252</c:v>
                </c:pt>
                <c:pt idx="1">
                  <c:v>41.842863776073152</c:v>
                </c:pt>
                <c:pt idx="2">
                  <c:v>18.660222749890234</c:v>
                </c:pt>
                <c:pt idx="3">
                  <c:v>11.890119989369623</c:v>
                </c:pt>
                <c:pt idx="4">
                  <c:v>0.17540194848525242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54.937340184394458</c:v>
                </c:pt>
                <c:pt idx="1">
                  <c:v>43.538115185503607</c:v>
                </c:pt>
                <c:pt idx="2">
                  <c:v>19.35702685374628</c:v>
                </c:pt>
                <c:pt idx="3">
                  <c:v>12.407279143098904</c:v>
                </c:pt>
                <c:pt idx="4">
                  <c:v>0.18151240302097427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53.16851962671722</c:v>
                </c:pt>
                <c:pt idx="1">
                  <c:v>41.947940309273925</c:v>
                </c:pt>
                <c:pt idx="2">
                  <c:v>18.939308754722223</c:v>
                </c:pt>
                <c:pt idx="3">
                  <c:v>12.106817108665179</c:v>
                </c:pt>
                <c:pt idx="4">
                  <c:v>0.17974171863792435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52.523077643881649</c:v>
                </c:pt>
                <c:pt idx="1">
                  <c:v>41.033803917553698</c:v>
                </c:pt>
                <c:pt idx="2">
                  <c:v>18.197441339197411</c:v>
                </c:pt>
                <c:pt idx="3">
                  <c:v>11.860040279727757</c:v>
                </c:pt>
                <c:pt idx="4">
                  <c:v>0.18086504185328064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3.4258141419355521</c:v>
                </c:pt>
                <c:pt idx="1">
                  <c:v>3.3369233717869946</c:v>
                </c:pt>
                <c:pt idx="2">
                  <c:v>0.85555049836564168</c:v>
                </c:pt>
                <c:pt idx="3">
                  <c:v>0.77183787576134466</c:v>
                </c:pt>
                <c:pt idx="4">
                  <c:v>1.0507789377942457E-2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22.78505214608861</c:v>
                </c:pt>
                <c:pt idx="1">
                  <c:v>21.241143811240505</c:v>
                </c:pt>
                <c:pt idx="2">
                  <c:v>10.399062780713825</c:v>
                </c:pt>
                <c:pt idx="3">
                  <c:v>8.7898430185854739</c:v>
                </c:pt>
                <c:pt idx="4">
                  <c:v>7.6361017036522996E-2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21.943970262790099</c:v>
                </c:pt>
                <c:pt idx="1">
                  <c:v>21.964619455080342</c:v>
                </c:pt>
                <c:pt idx="2">
                  <c:v>8.2865095605687795</c:v>
                </c:pt>
                <c:pt idx="3">
                  <c:v>6.6076381954184207</c:v>
                </c:pt>
                <c:pt idx="4">
                  <c:v>4.136562205087993E-2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9.4804119731223828</c:v>
                </c:pt>
                <c:pt idx="1">
                  <c:v>8.9435190918760501</c:v>
                </c:pt>
                <c:pt idx="2">
                  <c:v>4.3576691378116603</c:v>
                </c:pt>
                <c:pt idx="3">
                  <c:v>3.6083387610424582</c:v>
                </c:pt>
                <c:pt idx="4">
                  <c:v>2.2419349042728683E-2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41.58132327581621</c:v>
                </c:pt>
                <c:pt idx="1">
                  <c:v>33.535224289470037</c:v>
                </c:pt>
                <c:pt idx="2">
                  <c:v>13.291885219412629</c:v>
                </c:pt>
                <c:pt idx="3">
                  <c:v>10.182934495517333</c:v>
                </c:pt>
                <c:pt idx="4">
                  <c:v>0.24443664499686044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43.77115475152366</c:v>
                </c:pt>
                <c:pt idx="1">
                  <c:v>34.866987330161002</c:v>
                </c:pt>
                <c:pt idx="2">
                  <c:v>14.115393787213549</c:v>
                </c:pt>
                <c:pt idx="3">
                  <c:v>10.94140227466109</c:v>
                </c:pt>
                <c:pt idx="4">
                  <c:v>0.26226333859032158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58.977028800573009</c:v>
                </c:pt>
                <c:pt idx="1">
                  <c:v>48.670263307369098</c:v>
                </c:pt>
                <c:pt idx="2">
                  <c:v>17.590681784411039</c:v>
                </c:pt>
                <c:pt idx="3">
                  <c:v>12.666368033566693</c:v>
                </c:pt>
                <c:pt idx="4">
                  <c:v>0.19972232275258084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34.033561642388158</c:v>
                </c:pt>
                <c:pt idx="1">
                  <c:v>26.735943477517054</c:v>
                </c:pt>
                <c:pt idx="2">
                  <c:v>10.521986695448216</c:v>
                </c:pt>
                <c:pt idx="3">
                  <c:v>7.8708767554914871</c:v>
                </c:pt>
                <c:pt idx="4">
                  <c:v>0.11666096369190773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7.4296597591923792</c:v>
                </c:pt>
                <c:pt idx="1">
                  <c:v>7.2650721851204088</c:v>
                </c:pt>
                <c:pt idx="2">
                  <c:v>1.9185235463658514</c:v>
                </c:pt>
                <c:pt idx="3">
                  <c:v>1.6666502645207839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37.749300176412831</c:v>
                </c:pt>
                <c:pt idx="1">
                  <c:v>35.383615929703538</c:v>
                </c:pt>
                <c:pt idx="2">
                  <c:v>17.631796981029201</c:v>
                </c:pt>
                <c:pt idx="3">
                  <c:v>14.141232993348465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20.285600188890371</c:v>
                </c:pt>
                <c:pt idx="1">
                  <c:v>19.445910626109988</c:v>
                </c:pt>
                <c:pt idx="2">
                  <c:v>9.8488261079344213</c:v>
                </c:pt>
                <c:pt idx="3">
                  <c:v>7.3749535473406489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24.141562682282437</c:v>
                </c:pt>
                <c:pt idx="1">
                  <c:v>20.8133942561733</c:v>
                </c:pt>
                <c:pt idx="2">
                  <c:v>10.267058776434528</c:v>
                </c:pt>
                <c:pt idx="3">
                  <c:v>7.8669552686056763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T&amp;D'!$A$47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T&amp;D'!$B$47:$G$47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36.241518640951575</c:v>
                      </c:pt>
                      <c:pt idx="1">
                        <c:v>36.148261772353514</c:v>
                      </c:pt>
                      <c:pt idx="2">
                        <c:v>14.486313578458752</c:v>
                      </c:pt>
                      <c:pt idx="3">
                        <c:v>10.942940061944988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47.247572815533985</c:v>
                </c:pt>
                <c:pt idx="1">
                  <c:v>38.070388349514566</c:v>
                </c:pt>
                <c:pt idx="2">
                  <c:v>15.490291262135923</c:v>
                </c:pt>
                <c:pt idx="3">
                  <c:v>11.274271844660195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49.823204419889507</c:v>
                </c:pt>
                <c:pt idx="1">
                  <c:v>39.651933701657462</c:v>
                </c:pt>
                <c:pt idx="2">
                  <c:v>16.47790055248619</c:v>
                </c:pt>
                <c:pt idx="3">
                  <c:v>12.135359116022101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62.319767441860456</c:v>
                </c:pt>
                <c:pt idx="1">
                  <c:v>50.622093023255808</c:v>
                </c:pt>
                <c:pt idx="2">
                  <c:v>19.924418604651162</c:v>
                </c:pt>
                <c:pt idx="3">
                  <c:v>13.656976744186046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45.467005076142129</c:v>
                </c:pt>
                <c:pt idx="1">
                  <c:v>35.796954314720807</c:v>
                </c:pt>
                <c:pt idx="2">
                  <c:v>15.197969543147209</c:v>
                </c:pt>
                <c:pt idx="3">
                  <c:v>10.431472081218274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56.372549019607845</c:v>
                </c:pt>
                <c:pt idx="1">
                  <c:v>44.03921568627451</c:v>
                </c:pt>
                <c:pt idx="2">
                  <c:v>19.529411764705884</c:v>
                </c:pt>
                <c:pt idx="3">
                  <c:v>12.732026143790849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1075436</xdr:colOff>
      <xdr:row>3</xdr:row>
      <xdr:rowOff>99441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1FC56-A208-417E-ABF7-0626A95B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6084951" cy="602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249933</xdr:colOff>
      <xdr:row>3</xdr:row>
      <xdr:rowOff>97533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60"/>
  <sheetViews>
    <sheetView showGridLines="0" tabSelected="1" zoomScaleNormal="100" zoomScaleSheetLayoutView="115" workbookViewId="0"/>
  </sheetViews>
  <sheetFormatPr baseColWidth="10" defaultColWidth="11.46484375" defaultRowHeight="12.75" x14ac:dyDescent="0.35"/>
  <cols>
    <col min="1" max="1" width="20.46484375" style="1" customWidth="1"/>
    <col min="2" max="2" width="18.46484375" style="1" customWidth="1"/>
    <col min="3" max="3" width="18.46484375" style="1" bestFit="1" customWidth="1"/>
    <col min="4" max="4" width="15.19921875" style="1" customWidth="1"/>
    <col min="5" max="5" width="17.265625" style="1" customWidth="1"/>
    <col min="6" max="6" width="14.53125" style="1" customWidth="1"/>
    <col min="7" max="7" width="12.73046875" style="1" customWidth="1"/>
    <col min="8" max="8" width="13.73046875" style="1" customWidth="1"/>
    <col min="9" max="9" width="12.73046875" style="1" customWidth="1"/>
    <col min="10" max="10" width="8.796875" style="1" customWidth="1"/>
    <col min="11" max="11" width="17.53125" style="1" customWidth="1"/>
    <col min="12" max="16384" width="11.46484375" style="1"/>
  </cols>
  <sheetData>
    <row r="6" spans="1:8" s="4" customFormat="1" ht="30" customHeight="1" x14ac:dyDescent="0.35">
      <c r="A6" s="324" t="s">
        <v>184</v>
      </c>
      <c r="B6" s="324"/>
    </row>
    <row r="7" spans="1:8" ht="5.2" customHeight="1" x14ac:dyDescent="0.35"/>
    <row r="8" spans="1:8" s="2" customFormat="1" ht="19.5" customHeight="1" x14ac:dyDescent="0.35">
      <c r="A8" s="5" t="s">
        <v>108</v>
      </c>
      <c r="B8" s="5"/>
    </row>
    <row r="9" spans="1:8" ht="5.2" customHeight="1" x14ac:dyDescent="0.35">
      <c r="D9" s="2"/>
      <c r="E9" s="2"/>
      <c r="F9" s="2"/>
      <c r="G9" s="2"/>
      <c r="H9" s="2"/>
    </row>
    <row r="10" spans="1:8" s="2" customFormat="1" ht="19.5" customHeight="1" x14ac:dyDescent="0.35">
      <c r="A10" s="5" t="s">
        <v>109</v>
      </c>
      <c r="B10" s="5"/>
    </row>
    <row r="11" spans="1:8" ht="13.5" thickBot="1" x14ac:dyDescent="0.4">
      <c r="D11" s="2"/>
      <c r="E11" s="2"/>
      <c r="F11" s="2"/>
      <c r="G11" s="2"/>
      <c r="H11" s="2"/>
    </row>
    <row r="12" spans="1:8" s="25" customFormat="1" ht="53.55" customHeight="1" thickBot="1" x14ac:dyDescent="0.4">
      <c r="C12" s="499" t="s">
        <v>232</v>
      </c>
      <c r="D12" s="2"/>
      <c r="E12" s="2"/>
      <c r="F12" s="2"/>
      <c r="G12" s="2"/>
    </row>
    <row r="13" spans="1:8" s="25" customFormat="1" ht="7.5" customHeight="1" thickBot="1" x14ac:dyDescent="0.4">
      <c r="D13" s="2"/>
      <c r="E13" s="2"/>
      <c r="F13" s="2"/>
      <c r="G13" s="2"/>
    </row>
    <row r="14" spans="1:8" s="26" customFormat="1" ht="40.9" customHeight="1" x14ac:dyDescent="0.35">
      <c r="A14" s="577" t="s">
        <v>36</v>
      </c>
      <c r="B14" s="578"/>
      <c r="C14" s="498">
        <f>C15+C18+C19</f>
        <v>1318944.8419176191</v>
      </c>
      <c r="D14" s="431"/>
      <c r="E14" s="267"/>
      <c r="F14" s="267"/>
      <c r="G14" s="2"/>
    </row>
    <row r="15" spans="1:8" s="27" customFormat="1" ht="20.2" customHeight="1" x14ac:dyDescent="0.35">
      <c r="A15" s="360" t="s">
        <v>24</v>
      </c>
      <c r="B15" s="361"/>
      <c r="C15" s="362">
        <f>SUM(C16:C17)</f>
        <v>1492937.12523524</v>
      </c>
      <c r="D15" s="2"/>
      <c r="E15" s="2"/>
      <c r="F15" s="2"/>
      <c r="G15" s="2"/>
    </row>
    <row r="16" spans="1:8" s="28" customFormat="1" ht="20.2" customHeight="1" x14ac:dyDescent="0.35">
      <c r="A16" s="363" t="s">
        <v>24</v>
      </c>
      <c r="B16" s="364"/>
      <c r="C16" s="365">
        <v>1492937.12523524</v>
      </c>
      <c r="D16" s="2"/>
      <c r="E16" s="2"/>
      <c r="F16" s="2"/>
      <c r="G16" s="2"/>
    </row>
    <row r="17" spans="1:8" s="28" customFormat="1" ht="20.2" customHeight="1" x14ac:dyDescent="0.35">
      <c r="A17" s="363" t="s">
        <v>30</v>
      </c>
      <c r="B17" s="364"/>
      <c r="C17" s="365"/>
      <c r="D17" s="2"/>
      <c r="E17" s="2"/>
      <c r="F17" s="2"/>
      <c r="G17" s="2"/>
    </row>
    <row r="18" spans="1:8" s="27" customFormat="1" ht="20.2" customHeight="1" x14ac:dyDescent="0.35">
      <c r="A18" s="366" t="s">
        <v>25</v>
      </c>
      <c r="B18" s="367"/>
      <c r="C18" s="368">
        <v>-130039.81070797685</v>
      </c>
      <c r="D18" s="2"/>
      <c r="E18" s="267"/>
      <c r="F18" s="489"/>
      <c r="G18" s="2"/>
    </row>
    <row r="19" spans="1:8" s="27" customFormat="1" ht="20.2" customHeight="1" x14ac:dyDescent="0.35">
      <c r="A19" s="366" t="s">
        <v>26</v>
      </c>
      <c r="B19" s="367"/>
      <c r="C19" s="368">
        <f>C21+C25</f>
        <v>-43952.472609644006</v>
      </c>
      <c r="D19" s="2"/>
      <c r="E19" s="2"/>
      <c r="F19" s="2"/>
      <c r="G19" s="2"/>
    </row>
    <row r="20" spans="1:8" s="27" customFormat="1" ht="20.2" customHeight="1" x14ac:dyDescent="0.35">
      <c r="A20" s="363" t="s">
        <v>223</v>
      </c>
      <c r="B20" s="367"/>
      <c r="C20" s="369" t="s">
        <v>27</v>
      </c>
      <c r="D20" s="2"/>
      <c r="E20" s="2"/>
      <c r="F20" s="2"/>
      <c r="G20" s="2"/>
    </row>
    <row r="21" spans="1:8" s="27" customFormat="1" ht="20.2" customHeight="1" x14ac:dyDescent="0.35">
      <c r="A21" s="363" t="s">
        <v>132</v>
      </c>
      <c r="B21" s="367"/>
      <c r="C21" s="370">
        <f>SUM(C22:C24)</f>
        <v>7981.8427559918546</v>
      </c>
      <c r="D21" s="2"/>
      <c r="E21" s="2"/>
      <c r="F21" s="2"/>
      <c r="G21" s="2"/>
    </row>
    <row r="22" spans="1:8" s="27" customFormat="1" ht="20.2" customHeight="1" x14ac:dyDescent="0.35">
      <c r="A22" s="493" t="s">
        <v>231</v>
      </c>
      <c r="B22" s="491"/>
      <c r="C22" s="492">
        <v>16580.527955991849</v>
      </c>
      <c r="D22" s="2"/>
      <c r="E22" s="2"/>
      <c r="F22" s="2"/>
      <c r="G22" s="2"/>
    </row>
    <row r="23" spans="1:8" s="27" customFormat="1" ht="20.2" customHeight="1" x14ac:dyDescent="0.35">
      <c r="A23" s="493" t="s">
        <v>230</v>
      </c>
      <c r="B23" s="491"/>
      <c r="C23" s="492">
        <v>-1870.598719999999</v>
      </c>
      <c r="D23" s="2"/>
      <c r="E23" s="2"/>
      <c r="F23" s="2"/>
      <c r="G23" s="2"/>
    </row>
    <row r="24" spans="1:8" s="27" customFormat="1" ht="20.2" customHeight="1" x14ac:dyDescent="0.35">
      <c r="A24" s="493" t="s">
        <v>229</v>
      </c>
      <c r="B24" s="491"/>
      <c r="C24" s="492">
        <v>-6728.0864799999963</v>
      </c>
      <c r="D24" s="2"/>
      <c r="E24" s="2"/>
      <c r="F24" s="2"/>
      <c r="G24" s="2"/>
    </row>
    <row r="25" spans="1:8" s="27" customFormat="1" ht="20.2" customHeight="1" thickBot="1" x14ac:dyDescent="0.4">
      <c r="A25" s="371" t="s">
        <v>28</v>
      </c>
      <c r="B25" s="372"/>
      <c r="C25" s="373">
        <v>-51934.315365635863</v>
      </c>
      <c r="D25" s="2"/>
      <c r="E25" s="2"/>
      <c r="F25" s="2"/>
      <c r="G25" s="2"/>
    </row>
    <row r="26" spans="1:8" s="27" customFormat="1" ht="13.15" x14ac:dyDescent="0.35">
      <c r="A26" s="150" t="s">
        <v>233</v>
      </c>
      <c r="C26" s="152"/>
      <c r="D26" s="2"/>
      <c r="E26" s="2"/>
      <c r="F26" s="2"/>
      <c r="G26" s="2"/>
    </row>
    <row r="27" spans="1:8" s="25" customFormat="1" ht="13.15" x14ac:dyDescent="0.35">
      <c r="D27" s="2"/>
      <c r="E27" s="2"/>
      <c r="F27" s="2"/>
      <c r="G27" s="2"/>
    </row>
    <row r="28" spans="1:8" s="25" customFormat="1" ht="15" x14ac:dyDescent="0.35">
      <c r="A28" s="5" t="s">
        <v>110</v>
      </c>
      <c r="B28" s="5"/>
      <c r="C28" s="2"/>
      <c r="D28" s="2"/>
      <c r="E28" s="2"/>
      <c r="F28" s="2"/>
      <c r="G28" s="2"/>
    </row>
    <row r="29" spans="1:8" s="25" customFormat="1" ht="13.5" thickBot="1" x14ac:dyDescent="0.4">
      <c r="D29" s="2"/>
      <c r="E29" s="2"/>
      <c r="F29" s="2"/>
    </row>
    <row r="30" spans="1:8" s="25" customFormat="1" ht="48.7" customHeight="1" thickBot="1" x14ac:dyDescent="0.4">
      <c r="C30" s="499" t="s">
        <v>232</v>
      </c>
      <c r="D30" s="2"/>
      <c r="E30" s="2"/>
      <c r="F30" s="2"/>
      <c r="G30" s="2"/>
    </row>
    <row r="31" spans="1:8" s="25" customFormat="1" ht="7.5" customHeight="1" thickBot="1" x14ac:dyDescent="0.4">
      <c r="D31" s="2"/>
      <c r="E31" s="2"/>
      <c r="F31" s="2"/>
      <c r="G31" s="2"/>
    </row>
    <row r="32" spans="1:8" s="26" customFormat="1" ht="48.7" customHeight="1" x14ac:dyDescent="0.35">
      <c r="A32" s="579" t="s">
        <v>33</v>
      </c>
      <c r="B32" s="580"/>
      <c r="C32" s="500">
        <f>C33+C36</f>
        <v>5053864.9331409447</v>
      </c>
      <c r="D32" s="2"/>
      <c r="E32" s="431"/>
      <c r="F32" s="267"/>
      <c r="H32" s="36"/>
    </row>
    <row r="33" spans="1:9" s="27" customFormat="1" ht="20.2" customHeight="1" x14ac:dyDescent="0.35">
      <c r="A33" s="360" t="s">
        <v>32</v>
      </c>
      <c r="B33" s="361"/>
      <c r="C33" s="362">
        <v>5388663.4794430258</v>
      </c>
      <c r="D33" s="2"/>
      <c r="E33" s="2"/>
      <c r="F33" s="2"/>
      <c r="I33" s="37"/>
    </row>
    <row r="34" spans="1:9" s="28" customFormat="1" ht="20.2" customHeight="1" x14ac:dyDescent="0.35">
      <c r="A34" s="374" t="s">
        <v>31</v>
      </c>
      <c r="B34" s="364"/>
      <c r="C34" s="365"/>
      <c r="D34" s="2"/>
      <c r="E34" s="2"/>
      <c r="F34" s="2"/>
    </row>
    <row r="35" spans="1:9" s="28" customFormat="1" ht="20.2" customHeight="1" x14ac:dyDescent="0.35">
      <c r="A35" s="374"/>
      <c r="B35" s="364"/>
      <c r="C35" s="365"/>
      <c r="D35" s="2"/>
      <c r="E35" s="2"/>
      <c r="F35" s="2"/>
    </row>
    <row r="36" spans="1:9" s="27" customFormat="1" ht="20.2" customHeight="1" x14ac:dyDescent="0.35">
      <c r="A36" s="375" t="s">
        <v>29</v>
      </c>
      <c r="B36" s="367"/>
      <c r="C36" s="368">
        <f>C37+C38</f>
        <v>-334798.54630208109</v>
      </c>
      <c r="D36" s="2"/>
      <c r="E36" s="2"/>
      <c r="F36" s="2"/>
    </row>
    <row r="37" spans="1:9" s="27" customFormat="1" ht="20.2" customHeight="1" x14ac:dyDescent="0.35">
      <c r="A37" s="363" t="s">
        <v>35</v>
      </c>
      <c r="B37" s="367"/>
      <c r="C37" s="494">
        <v>-92561.865958745941</v>
      </c>
      <c r="D37" s="2"/>
      <c r="E37" s="2"/>
      <c r="F37" s="2"/>
    </row>
    <row r="38" spans="1:9" s="27" customFormat="1" ht="20.2" customHeight="1" x14ac:dyDescent="0.35">
      <c r="A38" s="363" t="s">
        <v>34</v>
      </c>
      <c r="B38" s="367"/>
      <c r="C38" s="495">
        <f>SUM(C39:C41)</f>
        <v>-242236.68034333517</v>
      </c>
      <c r="D38" s="2"/>
      <c r="E38" s="2"/>
      <c r="F38" s="2"/>
    </row>
    <row r="39" spans="1:9" s="27" customFormat="1" ht="20.2" customHeight="1" x14ac:dyDescent="0.35">
      <c r="A39" s="493" t="s">
        <v>34</v>
      </c>
      <c r="B39" s="367"/>
      <c r="C39" s="496">
        <v>82183.028716665111</v>
      </c>
      <c r="D39" s="2"/>
      <c r="E39" s="2"/>
      <c r="F39" s="2"/>
    </row>
    <row r="40" spans="1:9" s="27" customFormat="1" ht="20.2" customHeight="1" x14ac:dyDescent="0.35">
      <c r="A40" s="493" t="s">
        <v>230</v>
      </c>
      <c r="B40" s="367"/>
      <c r="C40" s="495">
        <v>-99296.79938000004</v>
      </c>
      <c r="D40" s="2"/>
      <c r="E40" s="2"/>
      <c r="F40" s="2"/>
    </row>
    <row r="41" spans="1:9" s="27" customFormat="1" ht="20.2" customHeight="1" thickBot="1" x14ac:dyDescent="0.4">
      <c r="A41" s="376" t="s">
        <v>229</v>
      </c>
      <c r="B41" s="372"/>
      <c r="C41" s="497">
        <v>-225122.90968000024</v>
      </c>
      <c r="D41" s="2"/>
      <c r="E41" s="2"/>
      <c r="F41" s="2"/>
    </row>
    <row r="42" spans="1:9" s="26" customFormat="1" x14ac:dyDescent="0.35">
      <c r="A42" s="150" t="s">
        <v>234</v>
      </c>
    </row>
    <row r="43" spans="1:9" ht="13.15" x14ac:dyDescent="0.35">
      <c r="A43" s="13"/>
      <c r="B43" s="14"/>
      <c r="E43" s="2"/>
      <c r="F43" s="2"/>
      <c r="G43" s="2"/>
      <c r="H43" s="2"/>
    </row>
    <row r="44" spans="1:9" s="2" customFormat="1" ht="15" customHeight="1" x14ac:dyDescent="0.35">
      <c r="A44" s="5" t="s">
        <v>117</v>
      </c>
      <c r="B44" s="5"/>
    </row>
    <row r="45" spans="1:9" ht="13.15" thickBot="1" x14ac:dyDescent="0.4"/>
    <row r="46" spans="1:9" s="2" customFormat="1" ht="30.75" customHeight="1" x14ac:dyDescent="0.35">
      <c r="A46" s="533" t="s">
        <v>0</v>
      </c>
      <c r="B46" s="534" t="s">
        <v>8</v>
      </c>
      <c r="C46" s="1"/>
      <c r="D46" s="1"/>
      <c r="E46" s="1"/>
      <c r="F46" s="1"/>
      <c r="G46" s="1"/>
    </row>
    <row r="47" spans="1:9" ht="15" customHeight="1" x14ac:dyDescent="0.35">
      <c r="A47" s="51" t="s">
        <v>49</v>
      </c>
      <c r="B47" s="44">
        <v>0.38319999999999999</v>
      </c>
      <c r="D47" s="43"/>
    </row>
    <row r="48" spans="1:9" ht="15" customHeight="1" x14ac:dyDescent="0.35">
      <c r="A48" s="40" t="s">
        <v>37</v>
      </c>
      <c r="B48" s="45">
        <v>0.40570000000000001</v>
      </c>
      <c r="D48" s="43"/>
    </row>
    <row r="49" spans="1:4" ht="15" customHeight="1" x14ac:dyDescent="0.35">
      <c r="A49" s="40" t="s">
        <v>38</v>
      </c>
      <c r="B49" s="45">
        <v>0.11609999999999999</v>
      </c>
      <c r="D49" s="43"/>
    </row>
    <row r="50" spans="1:4" ht="15" customHeight="1" x14ac:dyDescent="0.35">
      <c r="A50" s="3" t="s">
        <v>39</v>
      </c>
      <c r="B50" s="45">
        <v>9.5000000000000001E-2</v>
      </c>
      <c r="D50" s="43"/>
    </row>
    <row r="51" spans="1:4" ht="15" customHeight="1" thickBot="1" x14ac:dyDescent="0.4">
      <c r="A51" s="49" t="s">
        <v>40</v>
      </c>
      <c r="B51" s="46">
        <v>0</v>
      </c>
      <c r="D51" s="43"/>
    </row>
    <row r="52" spans="1:4" ht="10.5" customHeight="1" thickBot="1" x14ac:dyDescent="0.4"/>
    <row r="53" spans="1:4" ht="15" customHeight="1" thickBot="1" x14ac:dyDescent="0.4">
      <c r="A53" s="48" t="s">
        <v>1</v>
      </c>
      <c r="B53" s="47">
        <f>SUM(B47:B51)</f>
        <v>0.99999999999999989</v>
      </c>
      <c r="D53" s="43"/>
    </row>
    <row r="54" spans="1:4" ht="20.2" customHeight="1" x14ac:dyDescent="0.35">
      <c r="A54" s="150" t="s">
        <v>115</v>
      </c>
      <c r="B54" s="16"/>
    </row>
    <row r="55" spans="1:4" x14ac:dyDescent="0.35">
      <c r="A55" s="150"/>
      <c r="B55" s="22"/>
    </row>
    <row r="56" spans="1:4" ht="14.25" customHeight="1" x14ac:dyDescent="0.35"/>
    <row r="57" spans="1:4" s="2" customFormat="1" ht="15" customHeight="1" x14ac:dyDescent="0.35">
      <c r="A57" s="5" t="s">
        <v>116</v>
      </c>
      <c r="B57" s="5"/>
    </row>
    <row r="58" spans="1:4" ht="5.2" customHeight="1" thickBot="1" x14ac:dyDescent="0.4"/>
    <row r="59" spans="1:4" s="2" customFormat="1" ht="22.5" customHeight="1" x14ac:dyDescent="0.35">
      <c r="A59" s="583" t="s">
        <v>0</v>
      </c>
      <c r="B59" s="537" t="s">
        <v>5</v>
      </c>
      <c r="C59" s="537"/>
      <c r="D59" s="538"/>
    </row>
    <row r="60" spans="1:4" s="2" customFormat="1" ht="27" customHeight="1" x14ac:dyDescent="0.35">
      <c r="A60" s="584"/>
      <c r="B60" s="535" t="s">
        <v>6</v>
      </c>
      <c r="C60" s="535" t="s">
        <v>7</v>
      </c>
      <c r="D60" s="536" t="s">
        <v>4</v>
      </c>
    </row>
    <row r="61" spans="1:4" ht="15" customHeight="1" x14ac:dyDescent="0.35">
      <c r="A61" s="51" t="s">
        <v>49</v>
      </c>
      <c r="B61" s="19">
        <v>1</v>
      </c>
      <c r="C61" s="19">
        <f>1-B61</f>
        <v>0</v>
      </c>
      <c r="D61" s="7">
        <f>SUM(B61:C61)</f>
        <v>1</v>
      </c>
    </row>
    <row r="62" spans="1:4" ht="15" customHeight="1" x14ac:dyDescent="0.35">
      <c r="A62" s="40" t="s">
        <v>37</v>
      </c>
      <c r="B62" s="20">
        <v>0.75</v>
      </c>
      <c r="C62" s="20">
        <f>1-B62</f>
        <v>0.25</v>
      </c>
      <c r="D62" s="8">
        <f>SUM(B62:C62)</f>
        <v>1</v>
      </c>
    </row>
    <row r="63" spans="1:4" ht="15" customHeight="1" x14ac:dyDescent="0.35">
      <c r="A63" s="40" t="s">
        <v>38</v>
      </c>
      <c r="B63" s="20">
        <v>0.75</v>
      </c>
      <c r="C63" s="20">
        <f>1-B63</f>
        <v>0.25</v>
      </c>
      <c r="D63" s="8">
        <f>SUM(B63:C63)</f>
        <v>1</v>
      </c>
    </row>
    <row r="64" spans="1:4" ht="15" customHeight="1" x14ac:dyDescent="0.35">
      <c r="A64" s="3" t="s">
        <v>39</v>
      </c>
      <c r="B64" s="20">
        <v>0.75</v>
      </c>
      <c r="C64" s="20">
        <f>1-B64</f>
        <v>0.25</v>
      </c>
      <c r="D64" s="8">
        <f>SUM(B64:C64)</f>
        <v>1</v>
      </c>
    </row>
    <row r="65" spans="1:12" ht="15" customHeight="1" thickBot="1" x14ac:dyDescent="0.4">
      <c r="A65" s="49" t="s">
        <v>40</v>
      </c>
      <c r="B65" s="21">
        <v>0.75</v>
      </c>
      <c r="C65" s="21">
        <f>1-B65</f>
        <v>0.25</v>
      </c>
      <c r="D65" s="9">
        <f>SUM(B65:C65)</f>
        <v>1</v>
      </c>
    </row>
    <row r="66" spans="1:12" ht="20.2" customHeight="1" x14ac:dyDescent="0.35">
      <c r="A66" s="150" t="s">
        <v>213</v>
      </c>
      <c r="B66" s="16"/>
    </row>
    <row r="67" spans="1:12" x14ac:dyDescent="0.35">
      <c r="A67" s="150"/>
      <c r="B67" s="16"/>
    </row>
    <row r="68" spans="1:12" ht="20.2" customHeight="1" x14ac:dyDescent="0.35">
      <c r="A68" s="5" t="s">
        <v>118</v>
      </c>
      <c r="B68" s="16"/>
    </row>
    <row r="69" spans="1:12" x14ac:dyDescent="0.35">
      <c r="A69" s="15"/>
      <c r="B69" s="22"/>
    </row>
    <row r="70" spans="1:12" ht="18.75" customHeight="1" x14ac:dyDescent="0.35">
      <c r="A70" s="181" t="s">
        <v>119</v>
      </c>
      <c r="B70" s="10"/>
      <c r="C70" s="10"/>
      <c r="D70" s="10"/>
    </row>
    <row r="71" spans="1:12" ht="5.2" customHeight="1" thickBot="1" x14ac:dyDescent="0.4">
      <c r="A71" s="181"/>
      <c r="B71" s="10"/>
      <c r="C71" s="10"/>
      <c r="D71" s="10"/>
    </row>
    <row r="72" spans="1:12" s="2" customFormat="1" ht="18.75" customHeight="1" thickBot="1" x14ac:dyDescent="0.4">
      <c r="A72" s="182" t="s">
        <v>23</v>
      </c>
      <c r="B72" s="183"/>
      <c r="C72" s="184"/>
      <c r="D72" s="184"/>
      <c r="E72" s="184"/>
      <c r="F72" s="573">
        <v>1600</v>
      </c>
      <c r="G72" s="522"/>
      <c r="H72" s="522"/>
    </row>
    <row r="73" spans="1:12" ht="11.25" customHeight="1" thickBot="1" x14ac:dyDescent="0.4">
      <c r="G73" s="2"/>
      <c r="H73" s="2"/>
      <c r="I73" s="2"/>
      <c r="J73" s="2"/>
      <c r="K73" s="2"/>
    </row>
    <row r="74" spans="1:12" customFormat="1" ht="21.75" customHeight="1" x14ac:dyDescent="0.35">
      <c r="A74" s="583" t="s">
        <v>3</v>
      </c>
      <c r="B74" s="537" t="s">
        <v>0</v>
      </c>
      <c r="C74" s="537"/>
      <c r="D74" s="537"/>
      <c r="E74" s="537"/>
      <c r="F74" s="538"/>
      <c r="G74" s="2"/>
      <c r="H74" s="2"/>
      <c r="I74" s="2"/>
      <c r="J74" s="2"/>
      <c r="K74" s="2"/>
    </row>
    <row r="75" spans="1:12" customFormat="1" ht="21.75" customHeight="1" x14ac:dyDescent="0.35">
      <c r="A75" s="584"/>
      <c r="B75" s="539">
        <v>0</v>
      </c>
      <c r="C75" s="539">
        <v>1</v>
      </c>
      <c r="D75" s="539">
        <v>2</v>
      </c>
      <c r="E75" s="539">
        <v>3</v>
      </c>
      <c r="F75" s="540">
        <v>4</v>
      </c>
      <c r="G75" s="2"/>
      <c r="H75" s="2"/>
      <c r="I75" s="2"/>
      <c r="J75" s="2"/>
      <c r="K75" s="2"/>
    </row>
    <row r="76" spans="1:12" customFormat="1" ht="15" customHeight="1" x14ac:dyDescent="0.35">
      <c r="A76" s="17">
        <v>1</v>
      </c>
      <c r="B76" s="477">
        <v>0.34875</v>
      </c>
      <c r="C76" s="477">
        <v>0.361875</v>
      </c>
      <c r="D76" s="477">
        <v>0.37125000000000002</v>
      </c>
      <c r="E76" s="477">
        <v>0.35915053091817611</v>
      </c>
      <c r="F76" s="478">
        <v>0.3579013116801999</v>
      </c>
      <c r="G76" s="2"/>
      <c r="H76" s="2"/>
      <c r="I76" s="2"/>
      <c r="J76" s="2"/>
      <c r="K76" s="2"/>
      <c r="L76" s="23"/>
    </row>
    <row r="77" spans="1:12" customFormat="1" ht="15" customHeight="1" x14ac:dyDescent="0.35">
      <c r="A77" s="17">
        <v>2</v>
      </c>
      <c r="B77" s="477">
        <v>0.33875</v>
      </c>
      <c r="C77" s="477">
        <v>0.35375000000000001</v>
      </c>
      <c r="D77" s="477">
        <v>0.38687500000000002</v>
      </c>
      <c r="E77" s="477">
        <v>0.3579013116801999</v>
      </c>
      <c r="F77" s="478">
        <v>0.36039975015615239</v>
      </c>
      <c r="G77" s="2"/>
      <c r="H77" s="2"/>
      <c r="I77" s="2"/>
      <c r="J77" s="2"/>
      <c r="K77" s="2"/>
      <c r="L77" s="23"/>
    </row>
    <row r="78" spans="1:12" customFormat="1" ht="15" customHeight="1" x14ac:dyDescent="0.35">
      <c r="A78" s="17">
        <v>3</v>
      </c>
      <c r="B78" s="477">
        <v>7.7499999999999999E-2</v>
      </c>
      <c r="C78" s="477">
        <v>0.13062499999999999</v>
      </c>
      <c r="D78" s="477">
        <v>0.12125</v>
      </c>
      <c r="E78" s="477">
        <v>0.12617114303560276</v>
      </c>
      <c r="F78" s="478">
        <v>0.14428482198625858</v>
      </c>
      <c r="G78" s="2"/>
      <c r="H78" s="2"/>
      <c r="I78" s="2"/>
      <c r="J78" s="2"/>
      <c r="K78" s="2"/>
      <c r="L78" s="23"/>
    </row>
    <row r="79" spans="1:12" customFormat="1" ht="15" customHeight="1" x14ac:dyDescent="0.35">
      <c r="A79" s="17">
        <v>4</v>
      </c>
      <c r="B79" s="477">
        <v>7.3124999999999996E-2</v>
      </c>
      <c r="C79" s="477">
        <v>0.115</v>
      </c>
      <c r="D79" s="477">
        <v>9.5625000000000002E-2</v>
      </c>
      <c r="E79" s="477">
        <v>0.10493441599000625</v>
      </c>
      <c r="F79" s="478">
        <v>0.10306058713304185</v>
      </c>
      <c r="G79" s="2"/>
      <c r="H79" s="2"/>
      <c r="I79" s="2"/>
      <c r="J79" s="2"/>
      <c r="K79" s="2"/>
      <c r="L79" s="23"/>
    </row>
    <row r="80" spans="1:12" customFormat="1" ht="15" customHeight="1" x14ac:dyDescent="0.35">
      <c r="A80" s="17">
        <v>5</v>
      </c>
      <c r="B80" s="477">
        <v>1.25E-3</v>
      </c>
      <c r="C80" s="477">
        <v>1.25E-3</v>
      </c>
      <c r="D80" s="477">
        <v>6.2500000000000001E-4</v>
      </c>
      <c r="E80" s="477">
        <v>6.2460961898813238E-4</v>
      </c>
      <c r="F80" s="478">
        <v>6.2460961898813238E-4</v>
      </c>
      <c r="G80" s="2"/>
      <c r="H80" s="2"/>
      <c r="I80" s="2"/>
      <c r="J80" s="2"/>
      <c r="K80" s="2"/>
      <c r="L80" s="23"/>
    </row>
    <row r="81" spans="1:12" customFormat="1" ht="15" customHeight="1" thickBot="1" x14ac:dyDescent="0.4">
      <c r="A81" s="18">
        <v>6</v>
      </c>
      <c r="B81" s="479">
        <v>0.16062499999999999</v>
      </c>
      <c r="C81" s="479">
        <v>3.7499999999999999E-2</v>
      </c>
      <c r="D81" s="479">
        <v>2.4375000000000001E-2</v>
      </c>
      <c r="E81" s="479">
        <v>5.1217988757026857E-2</v>
      </c>
      <c r="F81" s="480">
        <v>3.3728919425359154E-2</v>
      </c>
      <c r="G81" s="2"/>
      <c r="H81" s="2"/>
      <c r="I81" s="2"/>
      <c r="J81" s="2"/>
      <c r="K81" s="2"/>
      <c r="L81" s="23"/>
    </row>
    <row r="82" spans="1:12" customFormat="1" ht="4.5" customHeight="1" thickBot="1" x14ac:dyDescent="0.4">
      <c r="B82" s="24"/>
      <c r="C82" s="24"/>
      <c r="D82" s="24"/>
      <c r="E82" s="24"/>
      <c r="F82" s="24"/>
      <c r="G82" s="2"/>
      <c r="H82" s="2"/>
      <c r="I82" s="2"/>
      <c r="J82" s="2"/>
      <c r="K82" s="2"/>
    </row>
    <row r="83" spans="1:12" customFormat="1" ht="15" customHeight="1" thickBot="1" x14ac:dyDescent="0.4">
      <c r="A83" s="29" t="s">
        <v>1</v>
      </c>
      <c r="B83" s="30">
        <f>SUM(B76:B81)</f>
        <v>1</v>
      </c>
      <c r="C83" s="30">
        <f>SUM(C76:C81)</f>
        <v>0.99999999999999989</v>
      </c>
      <c r="D83" s="30">
        <f>SUM(D76:D81)</f>
        <v>1</v>
      </c>
      <c r="E83" s="30">
        <f>SUM(E76:E81)</f>
        <v>1</v>
      </c>
      <c r="F83" s="31">
        <f>SUM(F76:F81)</f>
        <v>1</v>
      </c>
      <c r="G83" s="2"/>
      <c r="H83" s="2"/>
      <c r="I83" s="2"/>
      <c r="J83" s="2"/>
      <c r="K83" s="2"/>
    </row>
    <row r="84" spans="1:12" ht="20.2" customHeight="1" x14ac:dyDescent="0.35">
      <c r="A84" s="150" t="s">
        <v>224</v>
      </c>
      <c r="B84" s="481"/>
      <c r="C84" s="32"/>
      <c r="D84" s="32"/>
      <c r="E84" s="32"/>
      <c r="F84" s="32"/>
      <c r="G84" s="2"/>
      <c r="H84" s="2"/>
      <c r="I84" s="2"/>
      <c r="J84" s="2"/>
      <c r="K84" s="2"/>
    </row>
    <row r="85" spans="1:12" ht="13.15" x14ac:dyDescent="0.35">
      <c r="A85" s="150"/>
      <c r="B85" s="481"/>
      <c r="C85" s="32"/>
      <c r="D85" s="32"/>
      <c r="E85" s="32"/>
      <c r="F85" s="32"/>
      <c r="G85" s="2"/>
      <c r="H85" s="2"/>
      <c r="I85" s="2"/>
      <c r="J85" s="2"/>
      <c r="K85" s="2"/>
    </row>
    <row r="86" spans="1:12" ht="20.2" customHeight="1" x14ac:dyDescent="0.35">
      <c r="A86" s="181" t="s">
        <v>120</v>
      </c>
      <c r="B86" s="22"/>
    </row>
    <row r="87" spans="1:12" ht="5.2" customHeight="1" thickBot="1" x14ac:dyDescent="0.4">
      <c r="A87" s="15"/>
      <c r="B87" s="22"/>
    </row>
    <row r="88" spans="1:12" s="2" customFormat="1" ht="15.75" customHeight="1" thickBot="1" x14ac:dyDescent="0.4">
      <c r="A88" s="182" t="s">
        <v>23</v>
      </c>
      <c r="B88" s="183"/>
      <c r="C88" s="184"/>
      <c r="D88" s="184"/>
      <c r="E88" s="184"/>
      <c r="F88" s="573">
        <f>F72</f>
        <v>1600</v>
      </c>
    </row>
    <row r="89" spans="1:12" ht="5.2" customHeight="1" thickBot="1" x14ac:dyDescent="0.4">
      <c r="G89" s="2"/>
      <c r="H89" s="2"/>
      <c r="I89" s="2"/>
      <c r="J89" s="2"/>
      <c r="K89" s="2"/>
    </row>
    <row r="90" spans="1:12" customFormat="1" ht="18.75" customHeight="1" x14ac:dyDescent="0.35">
      <c r="A90" s="583" t="s">
        <v>3</v>
      </c>
      <c r="B90" s="537" t="s">
        <v>0</v>
      </c>
      <c r="C90" s="537"/>
      <c r="D90" s="537"/>
      <c r="E90" s="537"/>
      <c r="F90" s="538"/>
      <c r="G90" s="2"/>
      <c r="H90" s="2"/>
      <c r="I90" s="2"/>
      <c r="J90" s="2"/>
      <c r="K90" s="2"/>
    </row>
    <row r="91" spans="1:12" customFormat="1" ht="18.75" customHeight="1" x14ac:dyDescent="0.35">
      <c r="A91" s="584"/>
      <c r="B91" s="539">
        <v>0</v>
      </c>
      <c r="C91" s="539">
        <v>1</v>
      </c>
      <c r="D91" s="539">
        <v>2</v>
      </c>
      <c r="E91" s="539">
        <v>3</v>
      </c>
      <c r="F91" s="540">
        <v>4</v>
      </c>
      <c r="G91" s="2"/>
      <c r="H91" s="2"/>
      <c r="I91" s="2"/>
      <c r="J91" s="2"/>
      <c r="K91" s="2"/>
    </row>
    <row r="92" spans="1:12" customFormat="1" ht="15" customHeight="1" x14ac:dyDescent="0.35">
      <c r="A92" s="17">
        <v>1</v>
      </c>
      <c r="B92" s="477">
        <v>0.34875</v>
      </c>
      <c r="C92" s="477">
        <v>0.361875</v>
      </c>
      <c r="D92" s="477">
        <v>0.37125000000000002</v>
      </c>
      <c r="E92" s="477">
        <v>0.35915053091817611</v>
      </c>
      <c r="F92" s="478">
        <v>0.3579013116801999</v>
      </c>
      <c r="G92" s="38"/>
      <c r="H92" s="38"/>
      <c r="I92" s="38"/>
      <c r="J92" s="38"/>
      <c r="K92" s="2"/>
    </row>
    <row r="93" spans="1:12" customFormat="1" ht="15" customHeight="1" x14ac:dyDescent="0.35">
      <c r="A93" s="17">
        <v>2</v>
      </c>
      <c r="B93" s="477">
        <v>0.33875</v>
      </c>
      <c r="C93" s="477">
        <v>0.35375000000000001</v>
      </c>
      <c r="D93" s="477">
        <v>0.38687500000000002</v>
      </c>
      <c r="E93" s="477">
        <v>0.3579013116801999</v>
      </c>
      <c r="F93" s="478">
        <v>0.36039975015615239</v>
      </c>
      <c r="G93" s="2"/>
      <c r="H93" s="2"/>
      <c r="I93" s="2"/>
      <c r="J93" s="2"/>
      <c r="K93" s="2"/>
    </row>
    <row r="94" spans="1:12" customFormat="1" ht="15" customHeight="1" x14ac:dyDescent="0.35">
      <c r="A94" s="17">
        <v>3</v>
      </c>
      <c r="B94" s="477">
        <v>7.7499999999999999E-2</v>
      </c>
      <c r="C94" s="477">
        <v>0.13062499999999999</v>
      </c>
      <c r="D94" s="477">
        <v>0.12125</v>
      </c>
      <c r="E94" s="477">
        <v>0.12617114303560276</v>
      </c>
      <c r="F94" s="478">
        <v>0.14428482198625858</v>
      </c>
      <c r="G94" s="2"/>
      <c r="H94" s="2"/>
      <c r="I94" s="2"/>
      <c r="J94" s="2"/>
      <c r="K94" s="2"/>
    </row>
    <row r="95" spans="1:12" customFormat="1" ht="15" customHeight="1" x14ac:dyDescent="0.35">
      <c r="A95" s="17">
        <v>4</v>
      </c>
      <c r="B95" s="477">
        <v>7.3124999999999996E-2</v>
      </c>
      <c r="C95" s="477">
        <v>0.115</v>
      </c>
      <c r="D95" s="477">
        <v>9.5625000000000002E-2</v>
      </c>
      <c r="E95" s="477">
        <v>0.10493441599000625</v>
      </c>
      <c r="F95" s="478">
        <v>0.10306058713304185</v>
      </c>
      <c r="G95" s="2"/>
      <c r="H95" s="2"/>
      <c r="I95" s="2"/>
      <c r="J95" s="2"/>
      <c r="K95" s="2"/>
    </row>
    <row r="96" spans="1:12" customFormat="1" ht="15" customHeight="1" x14ac:dyDescent="0.35">
      <c r="A96" s="17">
        <v>5</v>
      </c>
      <c r="B96" s="477">
        <v>1.25E-3</v>
      </c>
      <c r="C96" s="477">
        <v>1.25E-3</v>
      </c>
      <c r="D96" s="477">
        <v>6.2500000000000001E-4</v>
      </c>
      <c r="E96" s="477">
        <v>6.2460961898813238E-4</v>
      </c>
      <c r="F96" s="478">
        <v>6.2460961898813238E-4</v>
      </c>
      <c r="G96" s="2"/>
      <c r="H96" s="2"/>
      <c r="I96" s="2"/>
      <c r="J96" s="2"/>
      <c r="K96" s="2"/>
    </row>
    <row r="97" spans="1:16" customFormat="1" ht="15" customHeight="1" thickBot="1" x14ac:dyDescent="0.4">
      <c r="A97" s="18">
        <v>6</v>
      </c>
      <c r="B97" s="479">
        <v>0.16062499999999999</v>
      </c>
      <c r="C97" s="479">
        <v>3.7499999999999999E-2</v>
      </c>
      <c r="D97" s="479">
        <v>2.4375000000000001E-2</v>
      </c>
      <c r="E97" s="479">
        <v>5.1217988757026857E-2</v>
      </c>
      <c r="F97" s="480">
        <v>3.3728919425359154E-2</v>
      </c>
      <c r="G97" s="2"/>
      <c r="H97" s="2"/>
      <c r="I97" s="2"/>
      <c r="J97" s="2"/>
      <c r="K97" s="2"/>
    </row>
    <row r="98" spans="1:16" customFormat="1" ht="5.2" customHeight="1" thickBot="1" x14ac:dyDescent="0.4">
      <c r="B98" s="24"/>
      <c r="C98" s="24"/>
      <c r="D98" s="24"/>
      <c r="E98" s="24"/>
      <c r="F98" s="24"/>
      <c r="G98" s="2"/>
      <c r="H98" s="2"/>
      <c r="I98" s="2"/>
      <c r="J98" s="2"/>
      <c r="K98" s="2"/>
    </row>
    <row r="99" spans="1:16" customFormat="1" ht="15" customHeight="1" thickBot="1" x14ac:dyDescent="0.4">
      <c r="A99" s="29" t="s">
        <v>1</v>
      </c>
      <c r="B99" s="30">
        <f>SUM(B92:B97)</f>
        <v>1</v>
      </c>
      <c r="C99" s="30">
        <f>SUM(C92:C97)</f>
        <v>0.99999999999999989</v>
      </c>
      <c r="D99" s="30">
        <f>SUM(D92:D97)</f>
        <v>1</v>
      </c>
      <c r="E99" s="30">
        <f>SUM(E92:E97)</f>
        <v>1</v>
      </c>
      <c r="F99" s="31">
        <f>SUM(F92:F97)</f>
        <v>1</v>
      </c>
      <c r="G99" s="2"/>
      <c r="H99" s="2"/>
      <c r="I99" s="2"/>
      <c r="J99" s="2"/>
      <c r="K99" s="2"/>
    </row>
    <row r="100" spans="1:16" ht="13.15" x14ac:dyDescent="0.35">
      <c r="A100" s="150" t="s">
        <v>224</v>
      </c>
      <c r="B100" s="151"/>
      <c r="G100" s="2"/>
      <c r="H100" s="2"/>
      <c r="I100" s="2"/>
      <c r="J100" s="2"/>
      <c r="K100" s="2"/>
    </row>
    <row r="101" spans="1:16" x14ac:dyDescent="0.35">
      <c r="A101" s="150"/>
      <c r="B101" s="22"/>
    </row>
    <row r="102" spans="1:16" x14ac:dyDescent="0.35">
      <c r="A102" s="15"/>
      <c r="B102" s="14"/>
    </row>
    <row r="103" spans="1:16" s="2" customFormat="1" ht="20.2" customHeight="1" x14ac:dyDescent="0.35">
      <c r="A103" s="5" t="s">
        <v>21</v>
      </c>
      <c r="B103" s="5"/>
      <c r="K103" s="1"/>
    </row>
    <row r="104" spans="1:16" ht="5.2" customHeight="1" thickBot="1" x14ac:dyDescent="0.4">
      <c r="C104" s="258"/>
      <c r="D104" s="258"/>
      <c r="E104" s="258"/>
      <c r="F104" s="258"/>
      <c r="G104" s="258"/>
      <c r="H104" s="258"/>
      <c r="I104" s="258"/>
    </row>
    <row r="105" spans="1:16" s="2" customFormat="1" ht="20.2" customHeight="1" x14ac:dyDescent="0.35">
      <c r="A105" s="583" t="s">
        <v>51</v>
      </c>
      <c r="B105" s="581" t="s">
        <v>97</v>
      </c>
      <c r="C105" s="537" t="s">
        <v>3</v>
      </c>
      <c r="D105" s="537"/>
      <c r="E105" s="537"/>
      <c r="F105" s="537"/>
      <c r="G105" s="537"/>
      <c r="H105" s="537"/>
      <c r="I105" s="538"/>
    </row>
    <row r="106" spans="1:16" s="2" customFormat="1" ht="20.2" customHeight="1" x14ac:dyDescent="0.35">
      <c r="A106" s="584"/>
      <c r="B106" s="582"/>
      <c r="C106" s="539">
        <v>1</v>
      </c>
      <c r="D106" s="539">
        <v>2</v>
      </c>
      <c r="E106" s="539">
        <v>3</v>
      </c>
      <c r="F106" s="539">
        <v>4</v>
      </c>
      <c r="G106" s="539">
        <v>5</v>
      </c>
      <c r="H106" s="539">
        <v>6</v>
      </c>
      <c r="I106" s="540" t="s">
        <v>4</v>
      </c>
    </row>
    <row r="107" spans="1:16" ht="15" customHeight="1" x14ac:dyDescent="0.35">
      <c r="A107" s="418" t="s">
        <v>50</v>
      </c>
      <c r="B107" s="421" t="s">
        <v>207</v>
      </c>
      <c r="C107" s="461">
        <v>19871.495627575892</v>
      </c>
      <c r="D107" s="461">
        <v>18506.105669758083</v>
      </c>
      <c r="E107" s="461">
        <v>34247.498740129449</v>
      </c>
      <c r="F107" s="461"/>
      <c r="G107" s="461"/>
      <c r="H107" s="461"/>
      <c r="I107" s="456">
        <f>SUM(C107:H107)</f>
        <v>72625.100037463417</v>
      </c>
      <c r="K107" s="258"/>
      <c r="L107" s="258"/>
      <c r="M107" s="258"/>
      <c r="N107" s="258"/>
      <c r="O107" s="258"/>
      <c r="P107" s="258"/>
    </row>
    <row r="108" spans="1:16" ht="15" customHeight="1" x14ac:dyDescent="0.35">
      <c r="A108" s="419" t="s">
        <v>50</v>
      </c>
      <c r="B108" s="420" t="s">
        <v>208</v>
      </c>
      <c r="C108" s="462">
        <f>($C$107*$C$136+$D$107*$C$137+$E$107*$C$138)</f>
        <v>8058.8207642441839</v>
      </c>
      <c r="D108" s="463">
        <f>$C$107*$D$136+$D$107*$D$137+$E$107*$D$138</f>
        <v>9915.0262081579858</v>
      </c>
      <c r="E108" s="463">
        <f>$C$107*$E$136+$D$107*$E$137+$E$107*$E$138</f>
        <v>7870.3827037400133</v>
      </c>
      <c r="F108" s="463">
        <f>$C$107*$F$136+$D$107*$F$137+$E$107*$F$138</f>
        <v>8882.0591127923472</v>
      </c>
      <c r="G108" s="463">
        <f>$C$107*$G$136+$D$107*$G$137+$E$107*$G$138</f>
        <v>3651.3125083994441</v>
      </c>
      <c r="H108" s="463">
        <f>$C$107*$H$136+$D$107*$H$137+$E$107*$H$138</f>
        <v>34247.498740129449</v>
      </c>
      <c r="I108" s="457">
        <f t="shared" ref="I108:I113" si="0">SUM(C108:H108)</f>
        <v>72625.100037463417</v>
      </c>
      <c r="K108" s="258"/>
      <c r="L108" s="258"/>
      <c r="M108" s="258"/>
      <c r="N108" s="258"/>
      <c r="O108" s="258"/>
      <c r="P108" s="258"/>
    </row>
    <row r="109" spans="1:16" ht="15" customHeight="1" x14ac:dyDescent="0.35">
      <c r="A109" s="6" t="s">
        <v>50</v>
      </c>
      <c r="B109" s="148" t="s">
        <v>99</v>
      </c>
      <c r="C109" s="464">
        <v>4102.1701347154985</v>
      </c>
      <c r="D109" s="465">
        <v>4843.3390330730517</v>
      </c>
      <c r="E109" s="465">
        <v>4520.1446495608643</v>
      </c>
      <c r="F109" s="465">
        <v>4944.3541301835476</v>
      </c>
      <c r="G109" s="465">
        <v>1877.2669537742479</v>
      </c>
      <c r="H109" s="465">
        <v>15015.227366022762</v>
      </c>
      <c r="I109" s="458">
        <f t="shared" si="0"/>
        <v>35302.502267329968</v>
      </c>
      <c r="K109" s="258"/>
      <c r="L109" s="258"/>
      <c r="M109" s="258"/>
      <c r="N109" s="258"/>
      <c r="O109" s="258"/>
      <c r="P109" s="258"/>
    </row>
    <row r="110" spans="1:16" ht="15" customHeight="1" x14ac:dyDescent="0.35">
      <c r="A110" s="6" t="s">
        <v>37</v>
      </c>
      <c r="B110" s="148" t="s">
        <v>100</v>
      </c>
      <c r="C110" s="464">
        <v>6925.5551250648878</v>
      </c>
      <c r="D110" s="465">
        <v>8704.0196073674961</v>
      </c>
      <c r="E110" s="465">
        <v>8559.8825744621845</v>
      </c>
      <c r="F110" s="465">
        <v>9540.2256668570262</v>
      </c>
      <c r="G110" s="465">
        <v>3839.946113212673</v>
      </c>
      <c r="H110" s="465">
        <v>32636.156548694991</v>
      </c>
      <c r="I110" s="458">
        <f t="shared" si="0"/>
        <v>70205.785635659267</v>
      </c>
      <c r="K110" s="258"/>
      <c r="L110" s="258"/>
      <c r="M110" s="258"/>
      <c r="N110" s="258"/>
      <c r="O110" s="258"/>
      <c r="P110" s="258"/>
    </row>
    <row r="111" spans="1:16" ht="15" customHeight="1" x14ac:dyDescent="0.35">
      <c r="A111" s="6" t="s">
        <v>38</v>
      </c>
      <c r="B111" s="148" t="s">
        <v>101</v>
      </c>
      <c r="C111" s="464">
        <v>1971.901613859605</v>
      </c>
      <c r="D111" s="465">
        <v>2635.5175851702193</v>
      </c>
      <c r="E111" s="465">
        <v>2492.6566321280725</v>
      </c>
      <c r="F111" s="465">
        <v>2841.6030891759801</v>
      </c>
      <c r="G111" s="465">
        <v>1209.7499583392057</v>
      </c>
      <c r="H111" s="465">
        <v>11452.159296590189</v>
      </c>
      <c r="I111" s="459">
        <f t="shared" si="0"/>
        <v>22603.58817526327</v>
      </c>
      <c r="K111" s="258"/>
      <c r="L111" s="258"/>
      <c r="M111" s="258"/>
      <c r="N111" s="258"/>
      <c r="O111" s="258"/>
      <c r="P111" s="258"/>
    </row>
    <row r="112" spans="1:16" ht="15" customHeight="1" x14ac:dyDescent="0.35">
      <c r="A112" s="6" t="s">
        <v>39</v>
      </c>
      <c r="B112" s="148" t="s">
        <v>102</v>
      </c>
      <c r="C112" s="464">
        <v>844.03712386776692</v>
      </c>
      <c r="D112" s="465">
        <v>1157.338103062662</v>
      </c>
      <c r="E112" s="465">
        <v>1141.7896975924639</v>
      </c>
      <c r="F112" s="465">
        <v>1315.3743912975474</v>
      </c>
      <c r="G112" s="465">
        <v>562.27517650335665</v>
      </c>
      <c r="H112" s="465">
        <v>6173.70881525817</v>
      </c>
      <c r="I112" s="459">
        <f t="shared" si="0"/>
        <v>11194.523307581967</v>
      </c>
      <c r="K112" s="258"/>
      <c r="L112" s="258"/>
      <c r="M112" s="258"/>
      <c r="N112" s="258"/>
      <c r="O112" s="258"/>
      <c r="P112" s="258"/>
    </row>
    <row r="113" spans="1:16" ht="15" customHeight="1" thickBot="1" x14ac:dyDescent="0.4">
      <c r="A113" s="39" t="s">
        <v>40</v>
      </c>
      <c r="B113" s="149" t="s">
        <v>103</v>
      </c>
      <c r="C113" s="466">
        <v>1245.6059190698249</v>
      </c>
      <c r="D113" s="467">
        <v>1831.431338018014</v>
      </c>
      <c r="E113" s="467">
        <v>1793.6203694158889</v>
      </c>
      <c r="F113" s="467">
        <v>2073.9095333330911</v>
      </c>
      <c r="G113" s="467">
        <v>917.62102383539059</v>
      </c>
      <c r="H113" s="467">
        <v>10517.369004174159</v>
      </c>
      <c r="I113" s="460">
        <f t="shared" si="0"/>
        <v>18379.557187846367</v>
      </c>
      <c r="K113" s="258"/>
      <c r="L113" s="258"/>
      <c r="M113" s="258"/>
      <c r="N113" s="258"/>
      <c r="O113" s="258"/>
      <c r="P113" s="258"/>
    </row>
    <row r="114" spans="1:16" ht="8.25" customHeight="1" thickBot="1" x14ac:dyDescent="0.4">
      <c r="C114" s="357"/>
      <c r="D114" s="264"/>
      <c r="E114" s="264"/>
      <c r="F114" s="264"/>
      <c r="G114" s="264"/>
      <c r="H114" s="264"/>
      <c r="I114" s="264"/>
    </row>
    <row r="115" spans="1:16" ht="19.5" customHeight="1" thickBot="1" x14ac:dyDescent="0.4">
      <c r="A115" s="29" t="s">
        <v>1</v>
      </c>
      <c r="B115" s="42"/>
      <c r="C115" s="358">
        <f t="shared" ref="C115:I115" si="1">SUM(C108:C113)</f>
        <v>23148.090680821766</v>
      </c>
      <c r="D115" s="358">
        <f t="shared" si="1"/>
        <v>29086.671874849428</v>
      </c>
      <c r="E115" s="358">
        <f>SUM(E108:E113)</f>
        <v>26378.476626899486</v>
      </c>
      <c r="F115" s="358">
        <f t="shared" si="1"/>
        <v>29597.52592363954</v>
      </c>
      <c r="G115" s="358">
        <f t="shared" si="1"/>
        <v>12058.171734064319</v>
      </c>
      <c r="H115" s="358">
        <f t="shared" si="1"/>
        <v>110042.11977086973</v>
      </c>
      <c r="I115" s="359">
        <f t="shared" si="1"/>
        <v>230311.05661114425</v>
      </c>
    </row>
    <row r="116" spans="1:16" x14ac:dyDescent="0.35">
      <c r="A116" s="150" t="s">
        <v>225</v>
      </c>
      <c r="I116" s="34"/>
    </row>
    <row r="117" spans="1:16" x14ac:dyDescent="0.35">
      <c r="A117" s="15"/>
      <c r="I117" s="34"/>
    </row>
    <row r="118" spans="1:16" s="2" customFormat="1" ht="15" customHeight="1" x14ac:dyDescent="0.35">
      <c r="A118" s="5" t="s">
        <v>22</v>
      </c>
      <c r="B118" s="5"/>
      <c r="I118" s="11"/>
      <c r="J118" s="11"/>
      <c r="K118" s="11"/>
      <c r="L118" s="11"/>
      <c r="M118" s="11"/>
      <c r="N118" s="11"/>
    </row>
    <row r="119" spans="1:16" ht="5.2" customHeight="1" thickBot="1" x14ac:dyDescent="0.4">
      <c r="I119" s="2"/>
    </row>
    <row r="120" spans="1:16" s="2" customFormat="1" ht="20.2" customHeight="1" x14ac:dyDescent="0.35">
      <c r="A120" s="583" t="s">
        <v>51</v>
      </c>
      <c r="B120" s="581" t="s">
        <v>97</v>
      </c>
      <c r="C120" s="537" t="s">
        <v>3</v>
      </c>
      <c r="D120" s="537"/>
      <c r="E120" s="537"/>
      <c r="F120" s="537"/>
      <c r="G120" s="537"/>
      <c r="H120" s="538"/>
    </row>
    <row r="121" spans="1:16" s="2" customFormat="1" ht="20.2" customHeight="1" x14ac:dyDescent="0.35">
      <c r="A121" s="584"/>
      <c r="B121" s="582"/>
      <c r="C121" s="539">
        <v>1</v>
      </c>
      <c r="D121" s="539">
        <v>2</v>
      </c>
      <c r="E121" s="539">
        <v>3</v>
      </c>
      <c r="F121" s="539">
        <v>4</v>
      </c>
      <c r="G121" s="539">
        <v>5</v>
      </c>
      <c r="H121" s="540">
        <v>6</v>
      </c>
    </row>
    <row r="122" spans="1:16" ht="15" customHeight="1" x14ac:dyDescent="0.35">
      <c r="A122" s="6" t="s">
        <v>50</v>
      </c>
      <c r="B122" s="147" t="s">
        <v>98</v>
      </c>
      <c r="C122" s="468">
        <v>124630.14539778764</v>
      </c>
      <c r="D122" s="468">
        <f>$C122</f>
        <v>124630.14539778764</v>
      </c>
      <c r="E122" s="468">
        <f t="shared" ref="E122:G122" si="2">$C122</f>
        <v>124630.14539778764</v>
      </c>
      <c r="F122" s="468">
        <f t="shared" si="2"/>
        <v>124630.14539778764</v>
      </c>
      <c r="G122" s="468">
        <f t="shared" si="2"/>
        <v>124630.14539778764</v>
      </c>
      <c r="H122" s="469">
        <v>124681.17489749544</v>
      </c>
      <c r="K122" s="258"/>
      <c r="L122" s="258"/>
      <c r="M122" s="258"/>
      <c r="N122" s="258"/>
      <c r="O122" s="258"/>
      <c r="P122" s="258"/>
    </row>
    <row r="123" spans="1:16" ht="15" customHeight="1" x14ac:dyDescent="0.35">
      <c r="A123" s="6" t="s">
        <v>50</v>
      </c>
      <c r="B123" s="148" t="s">
        <v>99</v>
      </c>
      <c r="C123" s="468">
        <v>18887.544504317586</v>
      </c>
      <c r="D123" s="468">
        <v>20343.586360922891</v>
      </c>
      <c r="E123" s="468">
        <v>20436.139729666244</v>
      </c>
      <c r="F123" s="468">
        <v>20438.778725165354</v>
      </c>
      <c r="G123" s="468">
        <v>20440.98100602613</v>
      </c>
      <c r="H123" s="470">
        <v>23159.528810098884</v>
      </c>
      <c r="K123" s="258"/>
      <c r="L123" s="258"/>
      <c r="M123" s="258"/>
      <c r="N123" s="258"/>
      <c r="O123" s="258"/>
      <c r="P123" s="258"/>
    </row>
    <row r="124" spans="1:16" ht="15" customHeight="1" x14ac:dyDescent="0.35">
      <c r="A124" s="6" t="s">
        <v>37</v>
      </c>
      <c r="B124" s="148" t="s">
        <v>100</v>
      </c>
      <c r="C124" s="468">
        <v>16273.820736309061</v>
      </c>
      <c r="D124" s="468">
        <v>16982.548619839461</v>
      </c>
      <c r="E124" s="468">
        <v>17936.196911519961</v>
      </c>
      <c r="F124" s="468">
        <v>18065.60070139114</v>
      </c>
      <c r="G124" s="468">
        <v>18187.693707801915</v>
      </c>
      <c r="H124" s="470">
        <v>26389.912714496917</v>
      </c>
      <c r="K124" s="258"/>
      <c r="L124" s="258"/>
      <c r="M124" s="258"/>
      <c r="N124" s="258"/>
      <c r="O124" s="258"/>
      <c r="P124" s="258"/>
    </row>
    <row r="125" spans="1:16" ht="15" customHeight="1" x14ac:dyDescent="0.35">
      <c r="A125" s="6" t="s">
        <v>38</v>
      </c>
      <c r="B125" s="148" t="s">
        <v>101</v>
      </c>
      <c r="C125" s="468">
        <v>3867.4430767884951</v>
      </c>
      <c r="D125" s="468">
        <v>4002.8477656092423</v>
      </c>
      <c r="E125" s="468">
        <v>4473.388001957037</v>
      </c>
      <c r="F125" s="468">
        <v>4513.5790311203864</v>
      </c>
      <c r="G125" s="468">
        <v>4549.7206241563763</v>
      </c>
      <c r="H125" s="470">
        <v>6005.8978806181522</v>
      </c>
      <c r="K125" s="258"/>
      <c r="L125" s="258"/>
      <c r="M125" s="258"/>
      <c r="N125" s="258"/>
      <c r="O125" s="258"/>
      <c r="P125" s="258"/>
    </row>
    <row r="126" spans="1:16" ht="15" customHeight="1" x14ac:dyDescent="0.35">
      <c r="A126" s="6" t="s">
        <v>39</v>
      </c>
      <c r="B126" s="148" t="s">
        <v>102</v>
      </c>
      <c r="C126" s="468">
        <v>1735.5878337102238</v>
      </c>
      <c r="D126" s="468">
        <v>1796.1937790576023</v>
      </c>
      <c r="E126" s="468">
        <v>1993.5144522216845</v>
      </c>
      <c r="F126" s="468">
        <v>2011.9422998600239</v>
      </c>
      <c r="G126" s="468">
        <v>2018.5990920870815</v>
      </c>
      <c r="H126" s="470">
        <v>2579.7371034593625</v>
      </c>
      <c r="K126" s="258"/>
      <c r="L126" s="258"/>
      <c r="M126" s="258"/>
      <c r="N126" s="258"/>
      <c r="O126" s="258"/>
      <c r="P126" s="258"/>
    </row>
    <row r="127" spans="1:16" ht="15" customHeight="1" thickBot="1" x14ac:dyDescent="0.4">
      <c r="A127" s="39" t="s">
        <v>40</v>
      </c>
      <c r="B127" s="149" t="s">
        <v>103</v>
      </c>
      <c r="C127" s="471">
        <v>3014.9457767802933</v>
      </c>
      <c r="D127" s="471">
        <v>3279.2152197480145</v>
      </c>
      <c r="E127" s="471">
        <v>3891.2540616381307</v>
      </c>
      <c r="F127" s="471">
        <v>4043.3074132346146</v>
      </c>
      <c r="G127" s="471">
        <v>4080.0336676683251</v>
      </c>
      <c r="H127" s="472">
        <v>5056.6147598729431</v>
      </c>
      <c r="K127" s="258"/>
      <c r="L127" s="258"/>
      <c r="M127" s="258"/>
      <c r="N127" s="258"/>
      <c r="O127" s="258"/>
      <c r="P127" s="258"/>
    </row>
    <row r="128" spans="1:16" ht="5.2" customHeight="1" thickBot="1" x14ac:dyDescent="0.4">
      <c r="C128" s="473"/>
      <c r="D128" s="474"/>
      <c r="E128" s="474"/>
      <c r="F128" s="474"/>
      <c r="G128" s="474"/>
      <c r="H128" s="474"/>
    </row>
    <row r="129" spans="1:8" ht="15" customHeight="1" thickBot="1" x14ac:dyDescent="0.4">
      <c r="A129" s="29" t="s">
        <v>1</v>
      </c>
      <c r="B129" s="42"/>
      <c r="C129" s="475">
        <f>SUM(C122:C128)</f>
        <v>168409.48732569328</v>
      </c>
      <c r="D129" s="475">
        <f t="shared" ref="D129:H129" si="3">SUM(D122:D128)</f>
        <v>171034.53714296481</v>
      </c>
      <c r="E129" s="475">
        <f t="shared" si="3"/>
        <v>173360.6385547907</v>
      </c>
      <c r="F129" s="475">
        <f t="shared" si="3"/>
        <v>173703.35356855916</v>
      </c>
      <c r="G129" s="475">
        <f t="shared" si="3"/>
        <v>173907.17349552747</v>
      </c>
      <c r="H129" s="476">
        <f t="shared" si="3"/>
        <v>187872.86616604167</v>
      </c>
    </row>
    <row r="130" spans="1:8" x14ac:dyDescent="0.35">
      <c r="A130" s="150" t="s">
        <v>225</v>
      </c>
      <c r="B130" s="16"/>
      <c r="C130" s="12"/>
      <c r="D130" s="12"/>
      <c r="E130" s="12"/>
      <c r="F130" s="12"/>
      <c r="G130" s="12"/>
      <c r="H130" s="12"/>
    </row>
    <row r="131" spans="1:8" x14ac:dyDescent="0.35">
      <c r="A131" s="150"/>
      <c r="B131" s="14"/>
      <c r="C131" s="258"/>
      <c r="D131" s="258"/>
      <c r="E131" s="258"/>
      <c r="F131" s="258"/>
      <c r="G131" s="258"/>
      <c r="H131" s="258"/>
    </row>
    <row r="132" spans="1:8" ht="15" x14ac:dyDescent="0.35">
      <c r="A132" s="5" t="s">
        <v>210</v>
      </c>
      <c r="B132" s="5"/>
      <c r="C132" s="2"/>
      <c r="D132" s="2"/>
      <c r="E132" s="2"/>
      <c r="F132" s="2"/>
      <c r="G132" s="2"/>
      <c r="H132" s="2"/>
    </row>
    <row r="133" spans="1:8" ht="5.2" customHeight="1" thickBot="1" x14ac:dyDescent="0.4">
      <c r="A133" s="5"/>
      <c r="B133" s="5"/>
      <c r="C133" s="2"/>
      <c r="D133" s="2"/>
      <c r="E133" s="2"/>
      <c r="F133" s="2"/>
      <c r="G133" s="2"/>
      <c r="H133" s="2"/>
    </row>
    <row r="134" spans="1:8" ht="13.15" x14ac:dyDescent="0.35">
      <c r="A134" s="585" t="s">
        <v>138</v>
      </c>
      <c r="B134" s="587" t="s">
        <v>139</v>
      </c>
      <c r="C134" s="537" t="s">
        <v>3</v>
      </c>
      <c r="D134" s="537"/>
      <c r="E134" s="537"/>
      <c r="F134" s="537"/>
      <c r="G134" s="537"/>
      <c r="H134" s="538"/>
    </row>
    <row r="135" spans="1:8" ht="13.15" x14ac:dyDescent="0.35">
      <c r="A135" s="586"/>
      <c r="B135" s="588"/>
      <c r="C135" s="539">
        <v>1</v>
      </c>
      <c r="D135" s="539">
        <v>2</v>
      </c>
      <c r="E135" s="539">
        <v>3</v>
      </c>
      <c r="F135" s="539">
        <v>4</v>
      </c>
      <c r="G135" s="539">
        <v>5</v>
      </c>
      <c r="H135" s="540">
        <v>6</v>
      </c>
    </row>
    <row r="136" spans="1:8" ht="15" customHeight="1" x14ac:dyDescent="0.35">
      <c r="A136" s="574" t="s">
        <v>98</v>
      </c>
      <c r="B136" s="262">
        <v>1</v>
      </c>
      <c r="C136" s="260">
        <v>0.36714926889012223</v>
      </c>
      <c r="D136" s="260">
        <v>0.18150536473880841</v>
      </c>
      <c r="E136" s="260">
        <v>0.22762719600987671</v>
      </c>
      <c r="F136" s="260">
        <v>0.22371817036119254</v>
      </c>
      <c r="G136" s="260">
        <v>0</v>
      </c>
      <c r="H136" s="319">
        <v>0</v>
      </c>
    </row>
    <row r="137" spans="1:8" ht="15" customHeight="1" x14ac:dyDescent="0.35">
      <c r="A137" s="575"/>
      <c r="B137" s="263">
        <v>2</v>
      </c>
      <c r="C137" s="261">
        <v>4.1230482871030157E-2</v>
      </c>
      <c r="D137" s="261">
        <v>0.34087361538618355</v>
      </c>
      <c r="E137" s="261">
        <v>0.1808640852506351</v>
      </c>
      <c r="F137" s="261">
        <v>0.23972868996962907</v>
      </c>
      <c r="G137" s="261">
        <v>0.19730312652252219</v>
      </c>
      <c r="H137" s="320">
        <v>0</v>
      </c>
    </row>
    <row r="138" spans="1:8" ht="15" customHeight="1" thickBot="1" x14ac:dyDescent="0.4">
      <c r="A138" s="576"/>
      <c r="B138" s="321">
        <v>3</v>
      </c>
      <c r="C138" s="322">
        <v>0</v>
      </c>
      <c r="D138" s="322">
        <v>0</v>
      </c>
      <c r="E138" s="322">
        <v>0</v>
      </c>
      <c r="F138" s="322">
        <v>0</v>
      </c>
      <c r="G138" s="322">
        <v>0</v>
      </c>
      <c r="H138" s="323">
        <v>1</v>
      </c>
    </row>
    <row r="139" spans="1:8" x14ac:dyDescent="0.35">
      <c r="A139" s="150" t="s">
        <v>226</v>
      </c>
      <c r="B139" s="16"/>
    </row>
    <row r="141" spans="1:8" ht="15" x14ac:dyDescent="0.35">
      <c r="A141" s="5" t="s">
        <v>212</v>
      </c>
      <c r="B141" s="5"/>
      <c r="C141" s="2"/>
      <c r="D141" s="2"/>
      <c r="E141" s="2"/>
      <c r="F141" s="2"/>
      <c r="G141" s="2"/>
      <c r="H141" s="2"/>
    </row>
    <row r="142" spans="1:8" ht="5.2" customHeight="1" thickBot="1" x14ac:dyDescent="0.4">
      <c r="A142" s="5"/>
      <c r="B142" s="5"/>
      <c r="C142" s="2"/>
      <c r="D142" s="2"/>
      <c r="E142" s="2"/>
      <c r="F142" s="2"/>
      <c r="G142" s="2"/>
      <c r="H142" s="2"/>
    </row>
    <row r="143" spans="1:8" ht="13.15" x14ac:dyDescent="0.35">
      <c r="A143" s="585" t="s">
        <v>138</v>
      </c>
      <c r="B143" s="587" t="s">
        <v>139</v>
      </c>
      <c r="C143" s="537" t="s">
        <v>3</v>
      </c>
      <c r="D143" s="537"/>
      <c r="E143" s="537"/>
      <c r="F143" s="537"/>
      <c r="G143" s="537"/>
      <c r="H143" s="538"/>
    </row>
    <row r="144" spans="1:8" ht="13.15" x14ac:dyDescent="0.35">
      <c r="A144" s="586"/>
      <c r="B144" s="588"/>
      <c r="C144" s="539">
        <v>1</v>
      </c>
      <c r="D144" s="539">
        <v>2</v>
      </c>
      <c r="E144" s="539">
        <v>3</v>
      </c>
      <c r="F144" s="539">
        <v>4</v>
      </c>
      <c r="G144" s="539">
        <v>5</v>
      </c>
      <c r="H144" s="540">
        <v>6</v>
      </c>
    </row>
    <row r="145" spans="1:9" ht="15" customHeight="1" x14ac:dyDescent="0.35">
      <c r="A145" s="574" t="s">
        <v>98</v>
      </c>
      <c r="B145" s="262">
        <v>1</v>
      </c>
      <c r="C145" s="260">
        <v>0.90546500485979953</v>
      </c>
      <c r="D145" s="260">
        <v>0.3641634662237816</v>
      </c>
      <c r="E145" s="260">
        <v>0.57513938180094992</v>
      </c>
      <c r="F145" s="260">
        <v>0.50094179296526875</v>
      </c>
      <c r="G145" s="260">
        <v>0</v>
      </c>
      <c r="H145" s="319">
        <v>0</v>
      </c>
    </row>
    <row r="146" spans="1:9" ht="15" customHeight="1" x14ac:dyDescent="0.35">
      <c r="A146" s="575"/>
      <c r="B146" s="263">
        <v>2</v>
      </c>
      <c r="C146" s="261">
        <v>9.4534995140200487E-2</v>
      </c>
      <c r="D146" s="261">
        <v>0.63583653377621829</v>
      </c>
      <c r="E146" s="261">
        <v>0.42486061819905008</v>
      </c>
      <c r="F146" s="261">
        <v>0.49905820703473119</v>
      </c>
      <c r="G146" s="261">
        <v>1</v>
      </c>
      <c r="H146" s="320">
        <v>0</v>
      </c>
    </row>
    <row r="147" spans="1:9" ht="15" customHeight="1" thickBot="1" x14ac:dyDescent="0.4">
      <c r="A147" s="576"/>
      <c r="B147" s="321">
        <v>3</v>
      </c>
      <c r="C147" s="322">
        <v>0</v>
      </c>
      <c r="D147" s="322">
        <v>0</v>
      </c>
      <c r="E147" s="322">
        <v>0</v>
      </c>
      <c r="F147" s="322">
        <v>0</v>
      </c>
      <c r="G147" s="322">
        <v>0</v>
      </c>
      <c r="H147" s="323">
        <v>1</v>
      </c>
    </row>
    <row r="148" spans="1:9" x14ac:dyDescent="0.35">
      <c r="A148" s="150" t="s">
        <v>226</v>
      </c>
      <c r="B148" s="16"/>
    </row>
    <row r="150" spans="1:9" x14ac:dyDescent="0.35">
      <c r="D150" s="265"/>
      <c r="E150" s="265"/>
    </row>
    <row r="151" spans="1:9" x14ac:dyDescent="0.35">
      <c r="C151" s="264"/>
      <c r="D151" s="264"/>
      <c r="E151" s="264"/>
      <c r="F151" s="264"/>
      <c r="G151" s="264"/>
      <c r="H151" s="264"/>
      <c r="I151" s="264"/>
    </row>
    <row r="152" spans="1:9" x14ac:dyDescent="0.35">
      <c r="C152" s="265"/>
    </row>
    <row r="153" spans="1:9" x14ac:dyDescent="0.35">
      <c r="D153" s="266"/>
      <c r="E153" s="266"/>
    </row>
    <row r="154" spans="1:9" x14ac:dyDescent="0.35">
      <c r="D154" s="266"/>
      <c r="E154" s="266"/>
    </row>
    <row r="157" spans="1:9" x14ac:dyDescent="0.35">
      <c r="D157" s="41"/>
      <c r="E157" s="264"/>
    </row>
    <row r="158" spans="1:9" x14ac:dyDescent="0.35">
      <c r="D158" s="41"/>
      <c r="E158" s="264"/>
    </row>
    <row r="159" spans="1:9" x14ac:dyDescent="0.35">
      <c r="D159" s="41"/>
      <c r="E159" s="264"/>
    </row>
    <row r="160" spans="1:9" x14ac:dyDescent="0.35">
      <c r="D160" s="41"/>
      <c r="E160" s="264"/>
    </row>
  </sheetData>
  <mergeCells count="15">
    <mergeCell ref="A145:A147"/>
    <mergeCell ref="A14:B14"/>
    <mergeCell ref="A32:B32"/>
    <mergeCell ref="B120:B121"/>
    <mergeCell ref="A59:A60"/>
    <mergeCell ref="A105:A106"/>
    <mergeCell ref="B105:B106"/>
    <mergeCell ref="A120:A121"/>
    <mergeCell ref="A74:A75"/>
    <mergeCell ref="A90:A91"/>
    <mergeCell ref="A134:A135"/>
    <mergeCell ref="B134:B135"/>
    <mergeCell ref="A136:A138"/>
    <mergeCell ref="A143:A144"/>
    <mergeCell ref="B143:B144"/>
  </mergeCells>
  <phoneticPr fontId="18" type="noConversion"/>
  <conditionalFormatting sqref="L76:L81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8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G109"/>
  <sheetViews>
    <sheetView showGridLines="0" zoomScaleNormal="100" workbookViewId="0"/>
  </sheetViews>
  <sheetFormatPr baseColWidth="10" defaultRowHeight="12.75" x14ac:dyDescent="0.35"/>
  <cols>
    <col min="2" max="7" width="14.73046875" customWidth="1"/>
    <col min="8" max="8" width="2.796875" customWidth="1"/>
    <col min="9" max="9" width="12.265625" bestFit="1" customWidth="1"/>
    <col min="10" max="10" width="11.19921875" bestFit="1" customWidth="1"/>
    <col min="11" max="11" width="13.73046875" bestFit="1" customWidth="1"/>
    <col min="12" max="13" width="11.19921875" bestFit="1" customWidth="1"/>
    <col min="14" max="14" width="11.46484375" customWidth="1"/>
    <col min="15" max="15" width="2.73046875" customWidth="1"/>
    <col min="17" max="17" width="13.19921875" customWidth="1"/>
    <col min="18" max="18" width="14" customWidth="1"/>
    <col min="22" max="22" width="2.265625" customWidth="1"/>
  </cols>
  <sheetData>
    <row r="1" spans="1:33" s="1" customFormat="1" x14ac:dyDescent="0.35"/>
    <row r="2" spans="1:33" s="1" customFormat="1" x14ac:dyDescent="0.35"/>
    <row r="3" spans="1:33" s="1" customFormat="1" x14ac:dyDescent="0.35"/>
    <row r="4" spans="1:33" s="1" customFormat="1" x14ac:dyDescent="0.35"/>
    <row r="5" spans="1:33" s="1" customFormat="1" x14ac:dyDescent="0.35"/>
    <row r="6" spans="1:33" s="1" customFormat="1" ht="17.649999999999999" x14ac:dyDescent="0.35">
      <c r="A6" s="325" t="s">
        <v>204</v>
      </c>
    </row>
    <row r="7" spans="1:33" s="5" customFormat="1" ht="16.5" customHeight="1" x14ac:dyDescent="0.35">
      <c r="A7" s="5" t="s">
        <v>217</v>
      </c>
    </row>
    <row r="8" spans="1:33" ht="5.2" customHeight="1" thickBot="1" x14ac:dyDescent="0.4"/>
    <row r="9" spans="1:33" ht="24" customHeight="1" x14ac:dyDescent="0.35">
      <c r="A9" s="614" t="s">
        <v>97</v>
      </c>
      <c r="B9" s="515" t="s">
        <v>122</v>
      </c>
      <c r="C9" s="515"/>
      <c r="D9" s="515"/>
      <c r="E9" s="515"/>
      <c r="F9" s="515"/>
      <c r="G9" s="516"/>
      <c r="I9" s="561" t="s">
        <v>123</v>
      </c>
      <c r="J9" s="515"/>
      <c r="K9" s="515"/>
      <c r="L9" s="515"/>
      <c r="M9" s="515"/>
      <c r="N9" s="516"/>
    </row>
    <row r="10" spans="1:33" ht="24" customHeight="1" x14ac:dyDescent="0.35">
      <c r="A10" s="615"/>
      <c r="B10" s="517" t="s">
        <v>15</v>
      </c>
      <c r="C10" s="517" t="s">
        <v>16</v>
      </c>
      <c r="D10" s="517" t="s">
        <v>17</v>
      </c>
      <c r="E10" s="517" t="s">
        <v>18</v>
      </c>
      <c r="F10" s="517" t="s">
        <v>19</v>
      </c>
      <c r="G10" s="518" t="s">
        <v>20</v>
      </c>
      <c r="I10" s="562" t="s">
        <v>15</v>
      </c>
      <c r="J10" s="517" t="s">
        <v>16</v>
      </c>
      <c r="K10" s="517" t="s">
        <v>17</v>
      </c>
      <c r="L10" s="517" t="s">
        <v>18</v>
      </c>
      <c r="M10" s="517" t="s">
        <v>19</v>
      </c>
      <c r="N10" s="518" t="s">
        <v>20</v>
      </c>
    </row>
    <row r="11" spans="1:33" ht="18" customHeight="1" x14ac:dyDescent="0.35">
      <c r="A11" s="185" t="s">
        <v>98</v>
      </c>
      <c r="B11" s="438">
        <f>ROUND('VI. Diseño del Peaje 2.0 TD'!B70,6)</f>
        <v>3.5488420000000001</v>
      </c>
      <c r="C11" s="438">
        <f>ROUND('VI. Diseño del Peaje 2.0 TD'!C70,6)</f>
        <v>7.0734000000000005E-2</v>
      </c>
      <c r="D11" s="439"/>
      <c r="E11" s="439"/>
      <c r="F11" s="439"/>
      <c r="G11" s="440"/>
      <c r="H11" s="1"/>
      <c r="I11" s="349">
        <f>ROUND('VI. Diseño del Peaje 2.0 TD'!D70,6)</f>
        <v>4.5059999999999996E-3</v>
      </c>
      <c r="J11" s="350">
        <f>ROUND('VI. Diseño del Peaje 2.0 TD'!E70,6)</f>
        <v>3.0500000000000002E-3</v>
      </c>
      <c r="K11" s="350">
        <f>ROUND('VI. Diseño del Peaje 2.0 TD'!F70,6)</f>
        <v>1.2799999999999999E-4</v>
      </c>
      <c r="L11" s="404"/>
      <c r="M11" s="404"/>
      <c r="N11" s="405"/>
      <c r="P11" s="25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3" ht="18" customHeight="1" x14ac:dyDescent="0.35">
      <c r="A12" s="188" t="s">
        <v>99</v>
      </c>
      <c r="B12" s="437">
        <f>ROUND('Va. Peajes transporte'!B80,6)</f>
        <v>1.5014989999999999</v>
      </c>
      <c r="C12" s="437">
        <f>ROUND('Va. Peajes transporte'!C80,6)</f>
        <v>1.5014989999999999</v>
      </c>
      <c r="D12" s="437">
        <f>ROUND('Va. Peajes transporte'!D80,6)</f>
        <v>0.46213300000000002</v>
      </c>
      <c r="E12" s="437">
        <f>ROUND('Va. Peajes transporte'!E80,6)</f>
        <v>0.32826100000000002</v>
      </c>
      <c r="F12" s="437">
        <f>ROUND('Va. Peajes transporte'!F80,6)</f>
        <v>7.7146000000000006E-2</v>
      </c>
      <c r="G12" s="441">
        <f>ROUND('Va. Peajes transporte'!G80,6)</f>
        <v>7.7146000000000006E-2</v>
      </c>
      <c r="H12" s="1"/>
      <c r="I12" s="351">
        <f>ROUND('Va. Peajes transporte'!I80,6)</f>
        <v>5.1050000000000002E-3</v>
      </c>
      <c r="J12" s="352">
        <f>ROUND('Va. Peajes transporte'!J80,6)</f>
        <v>4.1029999999999999E-3</v>
      </c>
      <c r="K12" s="352">
        <f>ROUND('Va. Peajes transporte'!K80,6)</f>
        <v>1.7910000000000001E-3</v>
      </c>
      <c r="L12" s="352">
        <f>ROUND('Va. Peajes transporte'!L80,6)</f>
        <v>1.1280000000000001E-3</v>
      </c>
      <c r="M12" s="352">
        <f>ROUND('Va. Peajes transporte'!M80,6)</f>
        <v>9.2999999999999997E-5</v>
      </c>
      <c r="N12" s="353">
        <f>ROUND('Va. Peajes transporte'!N80,6)</f>
        <v>9.2999999999999997E-5</v>
      </c>
      <c r="P12" s="25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3" ht="18" customHeight="1" x14ac:dyDescent="0.35">
      <c r="A13" s="188" t="s">
        <v>100</v>
      </c>
      <c r="B13" s="437">
        <f>ROUND('Va. Peajes transporte'!B81,6)</f>
        <v>5.1427649999999998</v>
      </c>
      <c r="C13" s="437">
        <f>ROUND('Va. Peajes transporte'!C81,6)</f>
        <v>4.8915829999999998</v>
      </c>
      <c r="D13" s="437">
        <f>ROUND('Va. Peajes transporte'!D81,6)</f>
        <v>2.551186</v>
      </c>
      <c r="E13" s="437">
        <f>ROUND('Va. Peajes transporte'!E81,6)</f>
        <v>1.7706230000000001</v>
      </c>
      <c r="F13" s="437">
        <f>ROUND('Va. Peajes transporte'!F81,6)</f>
        <v>0.12424200000000001</v>
      </c>
      <c r="G13" s="441">
        <f>ROUND('Va. Peajes transporte'!G81,6)</f>
        <v>0.12424200000000001</v>
      </c>
      <c r="H13" s="1"/>
      <c r="I13" s="351">
        <f>ROUND('Va. Peajes transporte'!I81,6)</f>
        <v>4.7299999999999998E-3</v>
      </c>
      <c r="J13" s="352">
        <f>ROUND('Va. Peajes transporte'!J81,6)</f>
        <v>3.7550000000000001E-3</v>
      </c>
      <c r="K13" s="352">
        <f>ROUND('Va. Peajes transporte'!K81,6)</f>
        <v>1.6739999999999999E-3</v>
      </c>
      <c r="L13" s="352">
        <f>ROUND('Va. Peajes transporte'!L81,6)</f>
        <v>1.067E-3</v>
      </c>
      <c r="M13" s="352">
        <f>ROUND('Va. Peajes transporte'!M81,6)</f>
        <v>8.2000000000000001E-5</v>
      </c>
      <c r="N13" s="353">
        <f>ROUND('Va. Peajes transporte'!N81,6)</f>
        <v>8.2000000000000001E-5</v>
      </c>
      <c r="P13" s="25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3" ht="18" customHeight="1" x14ac:dyDescent="0.35">
      <c r="A14" s="188" t="s">
        <v>101</v>
      </c>
      <c r="B14" s="437">
        <f>ROUND('Va. Peajes transporte'!B82,6)</f>
        <v>5.4153180000000001</v>
      </c>
      <c r="C14" s="437">
        <f>ROUND('Va. Peajes transporte'!C82,6)</f>
        <v>5.3804210000000001</v>
      </c>
      <c r="D14" s="437">
        <f>ROUND('Va. Peajes transporte'!D82,6)</f>
        <v>2.3460519999999998</v>
      </c>
      <c r="E14" s="437">
        <f>ROUND('Va. Peajes transporte'!E82,6)</f>
        <v>1.6430689999999999</v>
      </c>
      <c r="F14" s="437">
        <f>ROUND('Va. Peajes transporte'!F82,6)</f>
        <v>0.15646399999999999</v>
      </c>
      <c r="G14" s="441">
        <f>ROUND('Va. Peajes transporte'!G82,6)</f>
        <v>0.15646399999999999</v>
      </c>
      <c r="H14" s="1"/>
      <c r="I14" s="351">
        <f>ROUND('Va. Peajes transporte'!I82,6)</f>
        <v>4.2519999999999997E-3</v>
      </c>
      <c r="J14" s="352">
        <f>ROUND('Va. Peajes transporte'!J82,6)</f>
        <v>3.3700000000000002E-3</v>
      </c>
      <c r="K14" s="352">
        <f>ROUND('Va. Peajes transporte'!K82,6)</f>
        <v>1.498E-3</v>
      </c>
      <c r="L14" s="352">
        <f>ROUND('Va. Peajes transporte'!L82,6)</f>
        <v>9.6000000000000002E-4</v>
      </c>
      <c r="M14" s="352">
        <f>ROUND('Va. Peajes transporte'!M82,6)</f>
        <v>7.1000000000000005E-5</v>
      </c>
      <c r="N14" s="353">
        <f>ROUND('Va. Peajes transporte'!N82,6)</f>
        <v>7.1000000000000005E-5</v>
      </c>
      <c r="P14" s="25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3" ht="18" customHeight="1" x14ac:dyDescent="0.35">
      <c r="A15" s="188" t="s">
        <v>102</v>
      </c>
      <c r="B15" s="437">
        <f>ROUND('Va. Peajes transporte'!B83,6)</f>
        <v>5.4051239999999998</v>
      </c>
      <c r="C15" s="437">
        <f>ROUND('Va. Peajes transporte'!C83,6)</f>
        <v>5.2495810000000001</v>
      </c>
      <c r="D15" s="437">
        <f>ROUND('Va. Peajes transporte'!D83,6)</f>
        <v>2.739951</v>
      </c>
      <c r="E15" s="437">
        <f>ROUND('Va. Peajes transporte'!E83,6)</f>
        <v>1.888749</v>
      </c>
      <c r="F15" s="437">
        <f>ROUND('Va. Peajes transporte'!F83,6)</f>
        <v>0.21759100000000001</v>
      </c>
      <c r="G15" s="441">
        <f>ROUND('Va. Peajes transporte'!G83,6)</f>
        <v>0.21759100000000001</v>
      </c>
      <c r="H15" s="1"/>
      <c r="I15" s="351">
        <f>ROUND('Va. Peajes transporte'!I83,6)</f>
        <v>4.7990000000000003E-3</v>
      </c>
      <c r="J15" s="352">
        <f>ROUND('Va. Peajes transporte'!J83,6)</f>
        <v>3.7859999999999999E-3</v>
      </c>
      <c r="K15" s="352">
        <f>ROUND('Va. Peajes transporte'!K83,6)</f>
        <v>1.709E-3</v>
      </c>
      <c r="L15" s="352">
        <f>ROUND('Va. Peajes transporte'!L83,6)</f>
        <v>1.093E-3</v>
      </c>
      <c r="M15" s="352">
        <f>ROUND('Va. Peajes transporte'!M83,6)</f>
        <v>8.3999999999999995E-5</v>
      </c>
      <c r="N15" s="353">
        <f>ROUND('Va. Peajes transporte'!N83,6)</f>
        <v>8.3999999999999995E-5</v>
      </c>
      <c r="P15" s="25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3" ht="18" customHeight="1" thickBot="1" x14ac:dyDescent="0.4">
      <c r="A16" s="191" t="s">
        <v>103</v>
      </c>
      <c r="B16" s="442">
        <f>ROUND('Va. Peajes transporte'!B84,6)</f>
        <v>8.4430770000000006</v>
      </c>
      <c r="C16" s="442">
        <f>ROUND('Va. Peajes transporte'!C84,6)</f>
        <v>7.2791100000000002</v>
      </c>
      <c r="D16" s="442">
        <f>ROUND('Va. Peajes transporte'!D84,6)</f>
        <v>3.590719</v>
      </c>
      <c r="E16" s="442">
        <f>ROUND('Va. Peajes transporte'!E84,6)</f>
        <v>2.7513260000000002</v>
      </c>
      <c r="F16" s="442">
        <f>ROUND('Va. Peajes transporte'!F84,6)</f>
        <v>0.34973199999999999</v>
      </c>
      <c r="G16" s="443">
        <f>ROUND('Va. Peajes transporte'!G84,6)</f>
        <v>0.34973199999999999</v>
      </c>
      <c r="H16" s="1"/>
      <c r="I16" s="354">
        <f>ROUND('Va. Peajes transporte'!I84,6)</f>
        <v>8.6250000000000007E-3</v>
      </c>
      <c r="J16" s="355">
        <f>ROUND('Va. Peajes transporte'!J84,6)</f>
        <v>6.7380000000000001E-3</v>
      </c>
      <c r="K16" s="355">
        <f>ROUND('Va. Peajes transporte'!K84,6)</f>
        <v>2.9880000000000002E-3</v>
      </c>
      <c r="L16" s="355">
        <f>ROUND('Va. Peajes transporte'!L84,6)</f>
        <v>1.9480000000000001E-3</v>
      </c>
      <c r="M16" s="355">
        <f>ROUND('Va. Peajes transporte'!M84,6)</f>
        <v>1.5300000000000001E-4</v>
      </c>
      <c r="N16" s="356">
        <f>ROUND('Va. Peajes transporte'!N84,6)</f>
        <v>1.5300000000000001E-4</v>
      </c>
      <c r="P16" s="25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3" s="5" customFormat="1" ht="16.5" customHeight="1" x14ac:dyDescent="0.35">
      <c r="A17" s="5" t="s">
        <v>219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3" ht="5.2" customHeight="1" thickBot="1" x14ac:dyDescent="0.4"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3" ht="24" customHeight="1" x14ac:dyDescent="0.35">
      <c r="A19" s="614" t="s">
        <v>97</v>
      </c>
      <c r="B19" s="515" t="s">
        <v>122</v>
      </c>
      <c r="C19" s="515"/>
      <c r="D19" s="515"/>
      <c r="E19" s="515"/>
      <c r="F19" s="515"/>
      <c r="G19" s="516"/>
      <c r="I19" s="561" t="s">
        <v>123</v>
      </c>
      <c r="J19" s="515"/>
      <c r="K19" s="515"/>
      <c r="L19" s="515"/>
      <c r="M19" s="515"/>
      <c r="N19" s="516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3" ht="24" customHeight="1" x14ac:dyDescent="0.35">
      <c r="A20" s="615"/>
      <c r="B20" s="517" t="s">
        <v>15</v>
      </c>
      <c r="C20" s="517" t="s">
        <v>16</v>
      </c>
      <c r="D20" s="517" t="s">
        <v>17</v>
      </c>
      <c r="E20" s="517" t="s">
        <v>18</v>
      </c>
      <c r="F20" s="517" t="s">
        <v>19</v>
      </c>
      <c r="G20" s="518" t="s">
        <v>20</v>
      </c>
      <c r="I20" s="562" t="s">
        <v>15</v>
      </c>
      <c r="J20" s="517" t="s">
        <v>16</v>
      </c>
      <c r="K20" s="517" t="s">
        <v>17</v>
      </c>
      <c r="L20" s="517" t="s">
        <v>18</v>
      </c>
      <c r="M20" s="517" t="s">
        <v>19</v>
      </c>
      <c r="N20" s="518" t="s">
        <v>20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33" ht="18" customHeight="1" x14ac:dyDescent="0.35">
      <c r="A21" s="185" t="s">
        <v>98</v>
      </c>
      <c r="B21" s="349">
        <f>ROUND('VI. Diseño del Peaje 2.0 TD'!B71,6)</f>
        <v>18.844297999999998</v>
      </c>
      <c r="C21" s="350">
        <f>ROUND('VI. Diseño del Peaje 2.0 TD'!C71,6)</f>
        <v>1.079691</v>
      </c>
      <c r="D21" s="350"/>
      <c r="E21" s="404"/>
      <c r="F21" s="404"/>
      <c r="G21" s="405"/>
      <c r="H21" s="1"/>
      <c r="I21" s="349">
        <f>ROUND('VI. Diseño del Peaje 2.0 TD'!D71,6)</f>
        <v>2.4591999999999999E-2</v>
      </c>
      <c r="J21" s="350">
        <f>ROUND('VI. Diseño del Peaje 2.0 TD'!E71,6)</f>
        <v>1.6743999999999998E-2</v>
      </c>
      <c r="K21" s="350">
        <f>ROUND('VI. Diseño del Peaje 2.0 TD'!F71,6)</f>
        <v>8.52E-4</v>
      </c>
      <c r="L21" s="404"/>
      <c r="M21" s="404"/>
      <c r="N21" s="405"/>
      <c r="P21" s="25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3" ht="18" customHeight="1" x14ac:dyDescent="0.35">
      <c r="A22" s="188" t="s">
        <v>99</v>
      </c>
      <c r="B22" s="351">
        <f>ROUND('Vb. Peajes distribución'!B80,6)</f>
        <v>8.7657930000000004</v>
      </c>
      <c r="C22" s="352">
        <f>ROUND('Vb. Peajes distribución'!C80,6)</f>
        <v>8.5383440000000004</v>
      </c>
      <c r="D22" s="352">
        <f>ROUND('Vb. Peajes distribución'!D80,6)</f>
        <v>2.1891379999999998</v>
      </c>
      <c r="E22" s="352">
        <f>ROUND('Vb. Peajes distribución'!E80,6)</f>
        <v>1.9749380000000001</v>
      </c>
      <c r="F22" s="352">
        <f>ROUND('Vb. Peajes distribución'!F80,6)</f>
        <v>1.3047869999999999</v>
      </c>
      <c r="G22" s="353">
        <f>ROUND('Vb. Peajes distribución'!G80,6)</f>
        <v>1.3047869999999999</v>
      </c>
      <c r="H22" s="1"/>
      <c r="I22" s="351">
        <f>ROUND('Vb. Peajes distribución'!I80,6)</f>
        <v>1.4361000000000001E-2</v>
      </c>
      <c r="J22" s="352">
        <f>ROUND('Vb. Peajes distribución'!J80,6)</f>
        <v>1.1582E-2</v>
      </c>
      <c r="K22" s="352">
        <f>ROUND('Vb. Peajes distribución'!K80,6)</f>
        <v>4.5909999999999996E-3</v>
      </c>
      <c r="L22" s="352">
        <f>ROUND('Vb. Peajes distribución'!L80,6)</f>
        <v>3.5170000000000002E-3</v>
      </c>
      <c r="M22" s="352">
        <f>ROUND('Vb. Peajes distribución'!M80,6)</f>
        <v>3.19E-4</v>
      </c>
      <c r="N22" s="353">
        <f>ROUND('Vb. Peajes distribución'!N80,6)</f>
        <v>3.19E-4</v>
      </c>
      <c r="P22" s="25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 ht="18" customHeight="1" x14ac:dyDescent="0.35">
      <c r="A23" s="188" t="s">
        <v>100</v>
      </c>
      <c r="B23" s="351">
        <f>ROUND('Vb. Peajes distribución'!B81,6)</f>
        <v>13.965892999999999</v>
      </c>
      <c r="C23" s="352">
        <f>ROUND('Vb. Peajes distribución'!C81,6)</f>
        <v>13.019568</v>
      </c>
      <c r="D23" s="352">
        <f>ROUND('Vb. Peajes distribución'!D81,6)</f>
        <v>6.3740119999999996</v>
      </c>
      <c r="E23" s="352">
        <f>ROUND('Vb. Peajes distribución'!E81,6)</f>
        <v>5.3876549999999996</v>
      </c>
      <c r="F23" s="352">
        <f>ROUND('Vb. Peajes distribución'!F81,6)</f>
        <v>0.38195699999999999</v>
      </c>
      <c r="G23" s="353">
        <f>ROUND('Vb. Peajes distribución'!G81,6)</f>
        <v>0.38195699999999999</v>
      </c>
      <c r="H23" s="1"/>
      <c r="I23" s="351">
        <f>ROUND('Vb. Peajes distribución'!I81,6)</f>
        <v>1.3306E-2</v>
      </c>
      <c r="J23" s="352">
        <f>ROUND('Vb. Peajes distribución'!J81,6)</f>
        <v>1.0599000000000001E-2</v>
      </c>
      <c r="K23" s="352">
        <f>ROUND('Vb. Peajes distribución'!K81,6)</f>
        <v>4.2909999999999997E-3</v>
      </c>
      <c r="L23" s="352">
        <f>ROUND('Vb. Peajes distribución'!L81,6)</f>
        <v>3.326E-3</v>
      </c>
      <c r="M23" s="352">
        <f>ROUND('Vb. Peajes distribución'!M81,6)</f>
        <v>2.7999999999999998E-4</v>
      </c>
      <c r="N23" s="353">
        <f>ROUND('Vb. Peajes distribución'!N81,6)</f>
        <v>2.7999999999999998E-4</v>
      </c>
      <c r="P23" s="25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3" ht="18" customHeight="1" x14ac:dyDescent="0.35">
      <c r="A24" s="188" t="s">
        <v>101</v>
      </c>
      <c r="B24" s="351">
        <f>ROUND('Vb. Peajes distribución'!B82,6)</f>
        <v>8.1463669999999997</v>
      </c>
      <c r="C24" s="352">
        <f>ROUND('Vb. Peajes distribución'!C82,6)</f>
        <v>8.1463669999999997</v>
      </c>
      <c r="D24" s="352">
        <f>ROUND('Vb. Peajes distribución'!D82,6)</f>
        <v>3.07477</v>
      </c>
      <c r="E24" s="352">
        <f>ROUND('Vb. Peajes distribución'!E82,6)</f>
        <v>2.4518119999999999</v>
      </c>
      <c r="F24" s="352">
        <f>ROUND('Vb. Peajes distribución'!F82,6)</f>
        <v>0.21773899999999999</v>
      </c>
      <c r="G24" s="353">
        <f>ROUND('Vb. Peajes distribución'!G82,6)</f>
        <v>0.21773899999999999</v>
      </c>
      <c r="H24" s="1"/>
      <c r="I24" s="351">
        <f>ROUND('Vb. Peajes distribución'!I82,6)</f>
        <v>6.4669999999999997E-3</v>
      </c>
      <c r="J24" s="352">
        <f>ROUND('Vb. Peajes distribución'!J82,6)</f>
        <v>5.3369999999999997E-3</v>
      </c>
      <c r="K24" s="352">
        <f>ROUND('Vb. Peajes distribución'!K82,6)</f>
        <v>1.9289999999999999E-3</v>
      </c>
      <c r="L24" s="352">
        <f>ROUND('Vb. Peajes distribución'!L82,6)</f>
        <v>1.389E-3</v>
      </c>
      <c r="M24" s="352">
        <f>ROUND('Vb. Peajes distribución'!M82,6)</f>
        <v>1.01E-4</v>
      </c>
      <c r="N24" s="353">
        <f>ROUND('Vb. Peajes distribución'!N82,6)</f>
        <v>1.01E-4</v>
      </c>
      <c r="P24" s="25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</row>
    <row r="25" spans="1:33" ht="18" customHeight="1" x14ac:dyDescent="0.35">
      <c r="A25" s="188" t="s">
        <v>102</v>
      </c>
      <c r="B25" s="351">
        <f>ROUND('Vb. Peajes distribución'!B83,6)</f>
        <v>4.475079</v>
      </c>
      <c r="C25" s="352">
        <f>ROUND('Vb. Peajes distribución'!C83,6)</f>
        <v>4.2216469999999999</v>
      </c>
      <c r="D25" s="352">
        <f>ROUND('Vb. Peajes distribución'!D83,6)</f>
        <v>2.056969</v>
      </c>
      <c r="E25" s="352">
        <f>ROUND('Vb. Peajes distribución'!E83,6)</f>
        <v>1.7032590000000001</v>
      </c>
      <c r="F25" s="352">
        <f>ROUND('Vb. Peajes distribución'!F83,6)</f>
        <v>0.26946399999999998</v>
      </c>
      <c r="G25" s="353">
        <f>ROUND('Vb. Peajes distribución'!G83,6)</f>
        <v>0.26946399999999998</v>
      </c>
      <c r="H25" s="1"/>
      <c r="I25" s="351">
        <f>ROUND('Vb. Peajes distribución'!I83,6)</f>
        <v>4.1580000000000002E-3</v>
      </c>
      <c r="J25" s="352">
        <f>ROUND('Vb. Peajes distribución'!J83,6)</f>
        <v>3.2659999999999998E-3</v>
      </c>
      <c r="K25" s="352">
        <f>ROUND('Vb. Peajes distribución'!K83,6)</f>
        <v>1.2849999999999999E-3</v>
      </c>
      <c r="L25" s="352">
        <f>ROUND('Vb. Peajes distribución'!L83,6)</f>
        <v>9.6199999999999996E-4</v>
      </c>
      <c r="M25" s="352">
        <f>ROUND('Vb. Peajes distribución'!M83,6)</f>
        <v>1.13E-4</v>
      </c>
      <c r="N25" s="353">
        <f>ROUND('Vb. Peajes distribución'!N83,6)</f>
        <v>1.13E-4</v>
      </c>
      <c r="P25" s="25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</row>
    <row r="26" spans="1:33" ht="18" customHeight="1" thickBot="1" x14ac:dyDescent="0.4">
      <c r="A26" s="191" t="s">
        <v>103</v>
      </c>
      <c r="B26" s="354">
        <f>ROUND('Vb. Peajes distribución'!B84,6)</f>
        <v>0</v>
      </c>
      <c r="C26" s="355">
        <f>ROUND('Vb. Peajes distribución'!C84,6)</f>
        <v>0</v>
      </c>
      <c r="D26" s="355">
        <f>ROUND('Vb. Peajes distribución'!D84,6)</f>
        <v>0</v>
      </c>
      <c r="E26" s="355">
        <f>ROUND('Vb. Peajes distribución'!E84,6)</f>
        <v>0</v>
      </c>
      <c r="F26" s="355">
        <f>ROUND('Vb. Peajes distribución'!F84,6)</f>
        <v>0</v>
      </c>
      <c r="G26" s="356">
        <f>ROUND('Vb. Peajes distribución'!G84,6)</f>
        <v>0</v>
      </c>
      <c r="H26" s="1"/>
      <c r="I26" s="354">
        <f>ROUND('Vb. Peajes distribución'!I84,6)</f>
        <v>0</v>
      </c>
      <c r="J26" s="355">
        <f>ROUND('Vb. Peajes distribución'!J84,6)</f>
        <v>0</v>
      </c>
      <c r="K26" s="355">
        <f>ROUND('Vb. Peajes distribución'!K84,6)</f>
        <v>0</v>
      </c>
      <c r="L26" s="355">
        <f>ROUND('Vb. Peajes distribución'!L84,6)</f>
        <v>0</v>
      </c>
      <c r="M26" s="355">
        <f>ROUND('Vb. Peajes distribución'!M84,6)</f>
        <v>0</v>
      </c>
      <c r="N26" s="356">
        <f>ROUND('Vb. Peajes distribución'!N84,6)</f>
        <v>0</v>
      </c>
      <c r="P26" s="25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</row>
    <row r="27" spans="1:33" s="325" customFormat="1" ht="30" customHeight="1" x14ac:dyDescent="0.35">
      <c r="A27" s="2" t="s">
        <v>218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</row>
    <row r="28" spans="1:33" s="325" customFormat="1" ht="6.75" customHeight="1" x14ac:dyDescent="0.35"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</row>
    <row r="29" spans="1:33" s="5" customFormat="1" ht="16.5" customHeight="1" x14ac:dyDescent="0.35">
      <c r="A29" s="5" t="s">
        <v>220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</row>
    <row r="30" spans="1:33" ht="5.2" customHeight="1" thickBot="1" x14ac:dyDescent="0.4"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1" spans="1:33" ht="24" customHeight="1" x14ac:dyDescent="0.35">
      <c r="A31" s="614" t="s">
        <v>97</v>
      </c>
      <c r="B31" s="515" t="s">
        <v>122</v>
      </c>
      <c r="C31" s="515"/>
      <c r="D31" s="515"/>
      <c r="E31" s="515"/>
      <c r="F31" s="515"/>
      <c r="G31" s="516"/>
      <c r="I31" s="561" t="s">
        <v>123</v>
      </c>
      <c r="J31" s="515"/>
      <c r="K31" s="515"/>
      <c r="L31" s="515"/>
      <c r="M31" s="515"/>
      <c r="N31" s="516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</row>
    <row r="32" spans="1:33" ht="24" customHeight="1" x14ac:dyDescent="0.35">
      <c r="A32" s="615"/>
      <c r="B32" s="517" t="s">
        <v>15</v>
      </c>
      <c r="C32" s="517" t="s">
        <v>16</v>
      </c>
      <c r="D32" s="517" t="s">
        <v>17</v>
      </c>
      <c r="E32" s="517" t="s">
        <v>18</v>
      </c>
      <c r="F32" s="517" t="s">
        <v>19</v>
      </c>
      <c r="G32" s="518" t="s">
        <v>20</v>
      </c>
      <c r="I32" s="562" t="s">
        <v>15</v>
      </c>
      <c r="J32" s="517" t="s">
        <v>16</v>
      </c>
      <c r="K32" s="517" t="s">
        <v>17</v>
      </c>
      <c r="L32" s="517" t="s">
        <v>18</v>
      </c>
      <c r="M32" s="517" t="s">
        <v>19</v>
      </c>
      <c r="N32" s="518" t="s">
        <v>20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</row>
    <row r="33" spans="1:33" ht="18" customHeight="1" x14ac:dyDescent="0.35">
      <c r="A33" s="185" t="s">
        <v>98</v>
      </c>
      <c r="B33" s="438">
        <f>B11+B21</f>
        <v>22.393139999999999</v>
      </c>
      <c r="C33" s="438">
        <f t="shared" ref="C33:G33" si="0">C11+C21</f>
        <v>1.150425</v>
      </c>
      <c r="D33" s="439">
        <f t="shared" si="0"/>
        <v>0</v>
      </c>
      <c r="E33" s="439">
        <f t="shared" si="0"/>
        <v>0</v>
      </c>
      <c r="F33" s="439">
        <f t="shared" si="0"/>
        <v>0</v>
      </c>
      <c r="G33" s="440">
        <f t="shared" si="0"/>
        <v>0</v>
      </c>
      <c r="H33" s="1"/>
      <c r="I33" s="438">
        <f>I11+I21</f>
        <v>2.9097999999999999E-2</v>
      </c>
      <c r="J33" s="438">
        <f t="shared" ref="J33:N33" si="1">J11+J21</f>
        <v>1.9793999999999999E-2</v>
      </c>
      <c r="K33" s="439">
        <f t="shared" si="1"/>
        <v>9.7999999999999997E-4</v>
      </c>
      <c r="L33" s="439">
        <f t="shared" si="1"/>
        <v>0</v>
      </c>
      <c r="M33" s="439">
        <f t="shared" si="1"/>
        <v>0</v>
      </c>
      <c r="N33" s="440">
        <f t="shared" si="1"/>
        <v>0</v>
      </c>
      <c r="P33" s="444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</row>
    <row r="34" spans="1:33" ht="18" customHeight="1" x14ac:dyDescent="0.35">
      <c r="A34" s="188" t="s">
        <v>99</v>
      </c>
      <c r="B34" s="437">
        <f t="shared" ref="B34:G34" si="2">B12+B22</f>
        <v>10.267292000000001</v>
      </c>
      <c r="C34" s="437">
        <f t="shared" si="2"/>
        <v>10.039843000000001</v>
      </c>
      <c r="D34" s="437">
        <f t="shared" si="2"/>
        <v>2.6512709999999999</v>
      </c>
      <c r="E34" s="437">
        <f t="shared" si="2"/>
        <v>2.3031990000000002</v>
      </c>
      <c r="F34" s="437">
        <f t="shared" si="2"/>
        <v>1.3819329999999999</v>
      </c>
      <c r="G34" s="441">
        <f t="shared" si="2"/>
        <v>1.3819329999999999</v>
      </c>
      <c r="H34" s="1"/>
      <c r="I34" s="437">
        <f t="shared" ref="I34:N34" si="3">I12+I22</f>
        <v>1.9466000000000001E-2</v>
      </c>
      <c r="J34" s="437">
        <f t="shared" si="3"/>
        <v>1.5685000000000001E-2</v>
      </c>
      <c r="K34" s="437">
        <f t="shared" si="3"/>
        <v>6.3819999999999997E-3</v>
      </c>
      <c r="L34" s="437">
        <f t="shared" si="3"/>
        <v>4.6449999999999998E-3</v>
      </c>
      <c r="M34" s="437">
        <f t="shared" si="3"/>
        <v>4.1199999999999999E-4</v>
      </c>
      <c r="N34" s="441">
        <f t="shared" si="3"/>
        <v>4.1199999999999999E-4</v>
      </c>
      <c r="P34" s="444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</row>
    <row r="35" spans="1:33" ht="18" customHeight="1" x14ac:dyDescent="0.35">
      <c r="A35" s="188" t="s">
        <v>100</v>
      </c>
      <c r="B35" s="437">
        <f t="shared" ref="B35:G35" si="4">B13+B23</f>
        <v>19.108657999999998</v>
      </c>
      <c r="C35" s="437">
        <f t="shared" si="4"/>
        <v>17.911151</v>
      </c>
      <c r="D35" s="437">
        <f t="shared" si="4"/>
        <v>8.925198</v>
      </c>
      <c r="E35" s="437">
        <f t="shared" si="4"/>
        <v>7.1582779999999993</v>
      </c>
      <c r="F35" s="437">
        <f t="shared" si="4"/>
        <v>0.50619899999999995</v>
      </c>
      <c r="G35" s="441">
        <f t="shared" si="4"/>
        <v>0.50619899999999995</v>
      </c>
      <c r="H35" s="1"/>
      <c r="I35" s="437">
        <f t="shared" ref="I35:N35" si="5">I13+I23</f>
        <v>1.8036E-2</v>
      </c>
      <c r="J35" s="437">
        <f t="shared" si="5"/>
        <v>1.4354E-2</v>
      </c>
      <c r="K35" s="437">
        <f t="shared" si="5"/>
        <v>5.9649999999999998E-3</v>
      </c>
      <c r="L35" s="437">
        <f t="shared" si="5"/>
        <v>4.3930000000000002E-3</v>
      </c>
      <c r="M35" s="437">
        <f t="shared" si="5"/>
        <v>3.6199999999999996E-4</v>
      </c>
      <c r="N35" s="441">
        <f t="shared" si="5"/>
        <v>3.6199999999999996E-4</v>
      </c>
      <c r="P35" s="444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</row>
    <row r="36" spans="1:33" ht="18" customHeight="1" x14ac:dyDescent="0.35">
      <c r="A36" s="188" t="s">
        <v>101</v>
      </c>
      <c r="B36" s="437">
        <f t="shared" ref="B36:G36" si="6">B14+B24</f>
        <v>13.561685000000001</v>
      </c>
      <c r="C36" s="437">
        <f t="shared" si="6"/>
        <v>13.526788</v>
      </c>
      <c r="D36" s="437">
        <f t="shared" si="6"/>
        <v>5.4208219999999994</v>
      </c>
      <c r="E36" s="437">
        <f t="shared" si="6"/>
        <v>4.094881</v>
      </c>
      <c r="F36" s="437">
        <f t="shared" si="6"/>
        <v>0.37420299999999995</v>
      </c>
      <c r="G36" s="441">
        <f t="shared" si="6"/>
        <v>0.37420299999999995</v>
      </c>
      <c r="H36" s="1"/>
      <c r="I36" s="437">
        <f t="shared" ref="I36:N36" si="7">I14+I24</f>
        <v>1.0718999999999999E-2</v>
      </c>
      <c r="J36" s="437">
        <f t="shared" si="7"/>
        <v>8.7069999999999995E-3</v>
      </c>
      <c r="K36" s="437">
        <f t="shared" si="7"/>
        <v>3.4269999999999999E-3</v>
      </c>
      <c r="L36" s="437">
        <f t="shared" si="7"/>
        <v>2.349E-3</v>
      </c>
      <c r="M36" s="437">
        <f t="shared" si="7"/>
        <v>1.7200000000000001E-4</v>
      </c>
      <c r="N36" s="441">
        <f t="shared" si="7"/>
        <v>1.7200000000000001E-4</v>
      </c>
      <c r="P36" s="4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3" ht="18" customHeight="1" x14ac:dyDescent="0.35">
      <c r="A37" s="188" t="s">
        <v>102</v>
      </c>
      <c r="B37" s="437">
        <f t="shared" ref="B37:G37" si="8">B15+B25</f>
        <v>9.8802029999999998</v>
      </c>
      <c r="C37" s="437">
        <f t="shared" si="8"/>
        <v>9.471228</v>
      </c>
      <c r="D37" s="437">
        <f t="shared" si="8"/>
        <v>4.7969200000000001</v>
      </c>
      <c r="E37" s="437">
        <f t="shared" si="8"/>
        <v>3.5920079999999999</v>
      </c>
      <c r="F37" s="437">
        <f t="shared" si="8"/>
        <v>0.48705500000000002</v>
      </c>
      <c r="G37" s="441">
        <f t="shared" si="8"/>
        <v>0.48705500000000002</v>
      </c>
      <c r="H37" s="1"/>
      <c r="I37" s="437">
        <f t="shared" ref="I37:N37" si="9">I15+I25</f>
        <v>8.9569999999999997E-3</v>
      </c>
      <c r="J37" s="437">
        <f t="shared" si="9"/>
        <v>7.0519999999999992E-3</v>
      </c>
      <c r="K37" s="437">
        <f t="shared" si="9"/>
        <v>2.9940000000000001E-3</v>
      </c>
      <c r="L37" s="437">
        <f t="shared" si="9"/>
        <v>2.055E-3</v>
      </c>
      <c r="M37" s="437">
        <f t="shared" si="9"/>
        <v>1.9699999999999999E-4</v>
      </c>
      <c r="N37" s="441">
        <f t="shared" si="9"/>
        <v>1.9699999999999999E-4</v>
      </c>
      <c r="P37" s="444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3" ht="18" customHeight="1" thickBot="1" x14ac:dyDescent="0.4">
      <c r="A38" s="191" t="s">
        <v>103</v>
      </c>
      <c r="B38" s="442">
        <f t="shared" ref="B38:G38" si="10">B16+B26</f>
        <v>8.4430770000000006</v>
      </c>
      <c r="C38" s="442">
        <f t="shared" si="10"/>
        <v>7.2791100000000002</v>
      </c>
      <c r="D38" s="442">
        <f t="shared" si="10"/>
        <v>3.590719</v>
      </c>
      <c r="E38" s="442">
        <f t="shared" si="10"/>
        <v>2.7513260000000002</v>
      </c>
      <c r="F38" s="442">
        <f t="shared" si="10"/>
        <v>0.34973199999999999</v>
      </c>
      <c r="G38" s="443">
        <f t="shared" si="10"/>
        <v>0.34973199999999999</v>
      </c>
      <c r="H38" s="1"/>
      <c r="I38" s="442">
        <f t="shared" ref="I38:N38" si="11">I16+I26</f>
        <v>8.6250000000000007E-3</v>
      </c>
      <c r="J38" s="442">
        <f t="shared" si="11"/>
        <v>6.7380000000000001E-3</v>
      </c>
      <c r="K38" s="442">
        <f t="shared" si="11"/>
        <v>2.9880000000000002E-3</v>
      </c>
      <c r="L38" s="442">
        <f t="shared" si="11"/>
        <v>1.9480000000000001E-3</v>
      </c>
      <c r="M38" s="442">
        <f t="shared" si="11"/>
        <v>1.5300000000000001E-4</v>
      </c>
      <c r="N38" s="443">
        <f t="shared" si="11"/>
        <v>1.5300000000000001E-4</v>
      </c>
      <c r="P38" s="444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3" x14ac:dyDescent="0.35">
      <c r="B39" s="255"/>
      <c r="C39" s="255"/>
      <c r="D39" s="252"/>
      <c r="E39" s="252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 s="5" customFormat="1" ht="16.5" customHeight="1" x14ac:dyDescent="0.35">
      <c r="A40" s="5" t="s">
        <v>193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3" ht="5.2" customHeight="1" thickBot="1" x14ac:dyDescent="0.4">
      <c r="A41" s="153"/>
      <c r="B41" s="155"/>
      <c r="C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3" ht="24" customHeight="1" x14ac:dyDescent="0.35">
      <c r="A42" s="614" t="s">
        <v>53</v>
      </c>
      <c r="B42" s="515" t="s">
        <v>95</v>
      </c>
      <c r="C42" s="515"/>
      <c r="D42" s="515"/>
      <c r="E42" s="515"/>
      <c r="F42" s="515"/>
      <c r="G42" s="516"/>
      <c r="I42" s="561" t="s">
        <v>96</v>
      </c>
      <c r="J42" s="515"/>
      <c r="K42" s="515"/>
      <c r="L42" s="515"/>
      <c r="M42" s="515"/>
      <c r="N42" s="516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3" ht="24" customHeight="1" x14ac:dyDescent="0.35">
      <c r="A43" s="615"/>
      <c r="B43" s="517" t="s">
        <v>15</v>
      </c>
      <c r="C43" s="517" t="s">
        <v>16</v>
      </c>
      <c r="D43" s="517" t="s">
        <v>17</v>
      </c>
      <c r="E43" s="517" t="s">
        <v>18</v>
      </c>
      <c r="F43" s="517" t="s">
        <v>19</v>
      </c>
      <c r="G43" s="518" t="s">
        <v>20</v>
      </c>
      <c r="I43" s="562" t="s">
        <v>15</v>
      </c>
      <c r="J43" s="517" t="s">
        <v>16</v>
      </c>
      <c r="K43" s="517" t="s">
        <v>17</v>
      </c>
      <c r="L43" s="517" t="s">
        <v>18</v>
      </c>
      <c r="M43" s="517" t="s">
        <v>19</v>
      </c>
      <c r="N43" s="518" t="s">
        <v>20</v>
      </c>
    </row>
    <row r="44" spans="1:33" ht="15" customHeight="1" x14ac:dyDescent="0.35">
      <c r="A44" s="185" t="s">
        <v>98</v>
      </c>
      <c r="B44" s="156">
        <f>B33/$C$33</f>
        <v>19.46510202751157</v>
      </c>
      <c r="C44" s="156">
        <f>C33/$C$33</f>
        <v>1</v>
      </c>
      <c r="D44" s="156"/>
      <c r="E44" s="156"/>
      <c r="F44" s="156"/>
      <c r="G44" s="159"/>
      <c r="I44" s="158">
        <f>I33/$K$33</f>
        <v>29.691836734693876</v>
      </c>
      <c r="J44" s="156">
        <f t="shared" ref="J44:K44" si="12">J33/$K$33</f>
        <v>20.197959183673468</v>
      </c>
      <c r="K44" s="156">
        <f t="shared" si="12"/>
        <v>1</v>
      </c>
      <c r="L44" s="156"/>
      <c r="M44" s="156"/>
      <c r="N44" s="159"/>
      <c r="P44" s="255"/>
      <c r="Q44" s="255"/>
      <c r="R44" s="255"/>
      <c r="S44" s="255"/>
      <c r="T44" s="255"/>
      <c r="U44" s="255"/>
    </row>
    <row r="45" spans="1:33" ht="15" customHeight="1" x14ac:dyDescent="0.35">
      <c r="A45" s="188" t="s">
        <v>99</v>
      </c>
      <c r="B45" s="157">
        <f t="shared" ref="B45:G49" si="13">B34/$G34</f>
        <v>7.4296597591923792</v>
      </c>
      <c r="C45" s="157">
        <f t="shared" si="13"/>
        <v>7.2650721851204088</v>
      </c>
      <c r="D45" s="157">
        <f t="shared" si="13"/>
        <v>1.9185235463658514</v>
      </c>
      <c r="E45" s="157">
        <f t="shared" si="13"/>
        <v>1.6666502645207839</v>
      </c>
      <c r="F45" s="157">
        <f t="shared" si="13"/>
        <v>1</v>
      </c>
      <c r="G45" s="161">
        <f t="shared" si="13"/>
        <v>1</v>
      </c>
      <c r="I45" s="160">
        <f t="shared" ref="I45:N49" si="14">I34/$N34</f>
        <v>47.247572815533985</v>
      </c>
      <c r="J45" s="157">
        <f t="shared" si="14"/>
        <v>38.070388349514566</v>
      </c>
      <c r="K45" s="157">
        <f t="shared" si="14"/>
        <v>15.490291262135923</v>
      </c>
      <c r="L45" s="157">
        <f t="shared" si="14"/>
        <v>11.274271844660195</v>
      </c>
      <c r="M45" s="157">
        <f t="shared" si="14"/>
        <v>1</v>
      </c>
      <c r="N45" s="161">
        <f t="shared" si="14"/>
        <v>1</v>
      </c>
      <c r="P45" s="255"/>
      <c r="Q45" s="255"/>
      <c r="R45" s="255"/>
      <c r="S45" s="255"/>
      <c r="T45" s="255"/>
      <c r="U45" s="255"/>
    </row>
    <row r="46" spans="1:33" ht="15" customHeight="1" x14ac:dyDescent="0.35">
      <c r="A46" s="188" t="s">
        <v>100</v>
      </c>
      <c r="B46" s="157">
        <f t="shared" si="13"/>
        <v>37.749300176412831</v>
      </c>
      <c r="C46" s="157">
        <f t="shared" si="13"/>
        <v>35.383615929703538</v>
      </c>
      <c r="D46" s="157">
        <f t="shared" si="13"/>
        <v>17.631796981029201</v>
      </c>
      <c r="E46" s="157">
        <f t="shared" si="13"/>
        <v>14.141232993348465</v>
      </c>
      <c r="F46" s="157">
        <f t="shared" si="13"/>
        <v>1</v>
      </c>
      <c r="G46" s="161">
        <f t="shared" si="13"/>
        <v>1</v>
      </c>
      <c r="I46" s="160">
        <f t="shared" si="14"/>
        <v>49.823204419889507</v>
      </c>
      <c r="J46" s="157">
        <f t="shared" si="14"/>
        <v>39.651933701657462</v>
      </c>
      <c r="K46" s="157">
        <f t="shared" si="14"/>
        <v>16.47790055248619</v>
      </c>
      <c r="L46" s="157">
        <f t="shared" si="14"/>
        <v>12.135359116022101</v>
      </c>
      <c r="M46" s="157">
        <f t="shared" si="14"/>
        <v>1</v>
      </c>
      <c r="N46" s="161">
        <f t="shared" si="14"/>
        <v>1</v>
      </c>
      <c r="P46" s="255"/>
      <c r="Q46" s="255"/>
      <c r="R46" s="255"/>
      <c r="S46" s="255"/>
      <c r="T46" s="255"/>
      <c r="U46" s="255"/>
    </row>
    <row r="47" spans="1:33" ht="15" customHeight="1" x14ac:dyDescent="0.35">
      <c r="A47" s="188" t="s">
        <v>101</v>
      </c>
      <c r="B47" s="157">
        <f t="shared" si="13"/>
        <v>36.241518640951575</v>
      </c>
      <c r="C47" s="157">
        <f t="shared" si="13"/>
        <v>36.148261772353514</v>
      </c>
      <c r="D47" s="157">
        <f t="shared" si="13"/>
        <v>14.486313578458752</v>
      </c>
      <c r="E47" s="157">
        <f t="shared" si="13"/>
        <v>10.942940061944988</v>
      </c>
      <c r="F47" s="157">
        <f t="shared" si="13"/>
        <v>1</v>
      </c>
      <c r="G47" s="161">
        <f t="shared" si="13"/>
        <v>1</v>
      </c>
      <c r="I47" s="160">
        <f t="shared" si="14"/>
        <v>62.319767441860456</v>
      </c>
      <c r="J47" s="157">
        <f t="shared" si="14"/>
        <v>50.622093023255808</v>
      </c>
      <c r="K47" s="157">
        <f t="shared" si="14"/>
        <v>19.924418604651162</v>
      </c>
      <c r="L47" s="157">
        <f t="shared" si="14"/>
        <v>13.656976744186046</v>
      </c>
      <c r="M47" s="157">
        <f t="shared" si="14"/>
        <v>1</v>
      </c>
      <c r="N47" s="161">
        <f t="shared" si="14"/>
        <v>1</v>
      </c>
      <c r="P47" s="255"/>
      <c r="Q47" s="255"/>
      <c r="R47" s="255"/>
      <c r="S47" s="255"/>
      <c r="T47" s="255"/>
      <c r="U47" s="255"/>
    </row>
    <row r="48" spans="1:33" ht="15" customHeight="1" x14ac:dyDescent="0.35">
      <c r="A48" s="188" t="s">
        <v>102</v>
      </c>
      <c r="B48" s="157">
        <f t="shared" si="13"/>
        <v>20.285600188890371</v>
      </c>
      <c r="C48" s="157">
        <f t="shared" si="13"/>
        <v>19.445910626109988</v>
      </c>
      <c r="D48" s="157">
        <f t="shared" si="13"/>
        <v>9.8488261079344213</v>
      </c>
      <c r="E48" s="157">
        <f t="shared" si="13"/>
        <v>7.3749535473406489</v>
      </c>
      <c r="F48" s="157">
        <f t="shared" si="13"/>
        <v>1</v>
      </c>
      <c r="G48" s="161">
        <f t="shared" si="13"/>
        <v>1</v>
      </c>
      <c r="I48" s="160">
        <f t="shared" si="14"/>
        <v>45.467005076142129</v>
      </c>
      <c r="J48" s="157">
        <f t="shared" si="14"/>
        <v>35.796954314720807</v>
      </c>
      <c r="K48" s="157">
        <f t="shared" si="14"/>
        <v>15.197969543147209</v>
      </c>
      <c r="L48" s="157">
        <f t="shared" si="14"/>
        <v>10.431472081218274</v>
      </c>
      <c r="M48" s="157">
        <f t="shared" si="14"/>
        <v>1</v>
      </c>
      <c r="N48" s="161">
        <f t="shared" si="14"/>
        <v>1</v>
      </c>
      <c r="P48" s="255"/>
      <c r="Q48" s="255"/>
      <c r="R48" s="255"/>
      <c r="S48" s="255"/>
      <c r="T48" s="255"/>
      <c r="U48" s="255"/>
    </row>
    <row r="49" spans="1:21" ht="15" customHeight="1" thickBot="1" x14ac:dyDescent="0.4">
      <c r="A49" s="191" t="s">
        <v>103</v>
      </c>
      <c r="B49" s="163">
        <f t="shared" si="13"/>
        <v>24.141562682282437</v>
      </c>
      <c r="C49" s="163">
        <f t="shared" si="13"/>
        <v>20.8133942561733</v>
      </c>
      <c r="D49" s="163">
        <f t="shared" si="13"/>
        <v>10.267058776434528</v>
      </c>
      <c r="E49" s="163">
        <f t="shared" si="13"/>
        <v>7.8669552686056763</v>
      </c>
      <c r="F49" s="163">
        <f t="shared" si="13"/>
        <v>1</v>
      </c>
      <c r="G49" s="164">
        <f t="shared" si="13"/>
        <v>1</v>
      </c>
      <c r="I49" s="162">
        <f t="shared" si="14"/>
        <v>56.372549019607845</v>
      </c>
      <c r="J49" s="163">
        <f t="shared" si="14"/>
        <v>44.03921568627451</v>
      </c>
      <c r="K49" s="163">
        <f t="shared" si="14"/>
        <v>19.529411764705884</v>
      </c>
      <c r="L49" s="163">
        <f t="shared" si="14"/>
        <v>12.732026143790849</v>
      </c>
      <c r="M49" s="163">
        <f t="shared" si="14"/>
        <v>1</v>
      </c>
      <c r="N49" s="164">
        <f t="shared" si="14"/>
        <v>1</v>
      </c>
      <c r="P49" s="255"/>
      <c r="Q49" s="255"/>
      <c r="R49" s="255"/>
      <c r="S49" s="255"/>
      <c r="T49" s="255"/>
      <c r="U49" s="255"/>
    </row>
    <row r="71" spans="1:14" s="5" customFormat="1" ht="16.5" customHeight="1" x14ac:dyDescent="0.35">
      <c r="A71" s="5" t="s">
        <v>114</v>
      </c>
    </row>
    <row r="72" spans="1:14" ht="5.2" customHeight="1" thickBot="1" x14ac:dyDescent="0.4">
      <c r="A72" s="153"/>
      <c r="B72" s="155"/>
      <c r="C72" s="35"/>
    </row>
    <row r="73" spans="1:14" ht="18" customHeight="1" x14ac:dyDescent="0.35">
      <c r="A73" s="614" t="s">
        <v>53</v>
      </c>
      <c r="B73" s="515" t="s">
        <v>95</v>
      </c>
      <c r="C73" s="515"/>
      <c r="D73" s="515"/>
      <c r="E73" s="515"/>
      <c r="F73" s="515"/>
      <c r="G73" s="516"/>
      <c r="I73" s="561" t="s">
        <v>96</v>
      </c>
      <c r="J73" s="515"/>
      <c r="K73" s="515"/>
      <c r="L73" s="515"/>
      <c r="M73" s="515"/>
      <c r="N73" s="516"/>
    </row>
    <row r="74" spans="1:14" ht="18" customHeight="1" x14ac:dyDescent="0.35">
      <c r="A74" s="615"/>
      <c r="B74" s="517" t="s">
        <v>15</v>
      </c>
      <c r="C74" s="517" t="s">
        <v>16</v>
      </c>
      <c r="D74" s="517" t="s">
        <v>17</v>
      </c>
      <c r="E74" s="517" t="s">
        <v>18</v>
      </c>
      <c r="F74" s="517" t="s">
        <v>19</v>
      </c>
      <c r="G74" s="518" t="s">
        <v>20</v>
      </c>
      <c r="I74" s="562" t="s">
        <v>15</v>
      </c>
      <c r="J74" s="517" t="s">
        <v>16</v>
      </c>
      <c r="K74" s="517" t="s">
        <v>17</v>
      </c>
      <c r="L74" s="517" t="s">
        <v>18</v>
      </c>
      <c r="M74" s="517" t="s">
        <v>19</v>
      </c>
      <c r="N74" s="518" t="s">
        <v>20</v>
      </c>
    </row>
    <row r="75" spans="1:14" ht="18" customHeight="1" x14ac:dyDescent="0.35">
      <c r="A75" s="132" t="s">
        <v>10</v>
      </c>
      <c r="B75" s="156">
        <f t="shared" ref="B75:G79" si="15">B34/B$38</f>
        <v>1.2160604481044055</v>
      </c>
      <c r="C75" s="156">
        <f t="shared" si="15"/>
        <v>1.3792679324807566</v>
      </c>
      <c r="D75" s="156">
        <f t="shared" si="15"/>
        <v>0.73836771966840065</v>
      </c>
      <c r="E75" s="156">
        <f t="shared" si="15"/>
        <v>0.83712326347368504</v>
      </c>
      <c r="F75" s="156">
        <f t="shared" si="15"/>
        <v>3.9514056477531363</v>
      </c>
      <c r="G75" s="159">
        <f t="shared" si="15"/>
        <v>3.9514056477531363</v>
      </c>
      <c r="I75" s="158">
        <f t="shared" ref="I75:N79" si="16">I34/I$38</f>
        <v>2.2569275362318839</v>
      </c>
      <c r="J75" s="156">
        <f t="shared" si="16"/>
        <v>2.3278420896408432</v>
      </c>
      <c r="K75" s="156">
        <f t="shared" si="16"/>
        <v>2.1358768406961177</v>
      </c>
      <c r="L75" s="156">
        <f t="shared" si="16"/>
        <v>2.3844969199178645</v>
      </c>
      <c r="M75" s="156">
        <f t="shared" si="16"/>
        <v>2.6928104575163396</v>
      </c>
      <c r="N75" s="159">
        <f t="shared" si="16"/>
        <v>2.6928104575163396</v>
      </c>
    </row>
    <row r="76" spans="1:14" ht="18" customHeight="1" x14ac:dyDescent="0.35">
      <c r="A76" s="135" t="s">
        <v>11</v>
      </c>
      <c r="B76" s="157">
        <f t="shared" si="15"/>
        <v>2.2632338897300115</v>
      </c>
      <c r="C76" s="157">
        <f t="shared" si="15"/>
        <v>2.4606237575747585</v>
      </c>
      <c r="D76" s="157">
        <f t="shared" si="15"/>
        <v>2.4856297582740394</v>
      </c>
      <c r="E76" s="157">
        <f t="shared" si="15"/>
        <v>2.6017556625423519</v>
      </c>
      <c r="F76" s="157">
        <f t="shared" si="15"/>
        <v>1.4473911452197683</v>
      </c>
      <c r="G76" s="161">
        <f t="shared" si="15"/>
        <v>1.4473911452197683</v>
      </c>
      <c r="I76" s="160">
        <f t="shared" si="16"/>
        <v>2.0911304347826083</v>
      </c>
      <c r="J76" s="157">
        <f t="shared" si="16"/>
        <v>2.1303057287028793</v>
      </c>
      <c r="K76" s="157">
        <f t="shared" si="16"/>
        <v>1.9963186077643906</v>
      </c>
      <c r="L76" s="157">
        <f t="shared" si="16"/>
        <v>2.2551334702258727</v>
      </c>
      <c r="M76" s="157">
        <f t="shared" si="16"/>
        <v>2.3660130718954244</v>
      </c>
      <c r="N76" s="161">
        <f t="shared" si="16"/>
        <v>2.3660130718954244</v>
      </c>
    </row>
    <row r="77" spans="1:14" ht="18" customHeight="1" x14ac:dyDescent="0.35">
      <c r="A77" s="135" t="s">
        <v>12</v>
      </c>
      <c r="B77" s="157">
        <f t="shared" si="15"/>
        <v>1.6062491198410247</v>
      </c>
      <c r="C77" s="157">
        <f t="shared" si="15"/>
        <v>1.8583024573059068</v>
      </c>
      <c r="D77" s="157">
        <f t="shared" si="15"/>
        <v>1.5096759172745067</v>
      </c>
      <c r="E77" s="157">
        <f t="shared" si="15"/>
        <v>1.4883299907026648</v>
      </c>
      <c r="F77" s="157">
        <f t="shared" si="15"/>
        <v>1.0699707204373634</v>
      </c>
      <c r="G77" s="161">
        <f t="shared" si="15"/>
        <v>1.0699707204373634</v>
      </c>
      <c r="I77" s="160">
        <f t="shared" si="16"/>
        <v>1.2427826086956519</v>
      </c>
      <c r="J77" s="157">
        <f t="shared" si="16"/>
        <v>1.2922232116355001</v>
      </c>
      <c r="K77" s="157">
        <f t="shared" si="16"/>
        <v>1.1469210174029449</v>
      </c>
      <c r="L77" s="157">
        <f t="shared" si="16"/>
        <v>1.2058521560574949</v>
      </c>
      <c r="M77" s="157">
        <f t="shared" si="16"/>
        <v>1.1241830065359477</v>
      </c>
      <c r="N77" s="161">
        <f t="shared" si="16"/>
        <v>1.1241830065359477</v>
      </c>
    </row>
    <row r="78" spans="1:14" ht="18" customHeight="1" x14ac:dyDescent="0.35">
      <c r="A78" s="135" t="s">
        <v>13</v>
      </c>
      <c r="B78" s="157">
        <f t="shared" si="15"/>
        <v>1.1702135370789581</v>
      </c>
      <c r="C78" s="157">
        <f t="shared" si="15"/>
        <v>1.3011519265404698</v>
      </c>
      <c r="D78" s="157">
        <f t="shared" si="15"/>
        <v>1.335921858546993</v>
      </c>
      <c r="E78" s="157">
        <f t="shared" si="15"/>
        <v>1.30555521228673</v>
      </c>
      <c r="F78" s="157">
        <f t="shared" si="15"/>
        <v>1.3926520878844373</v>
      </c>
      <c r="G78" s="161">
        <f t="shared" si="15"/>
        <v>1.3926520878844373</v>
      </c>
      <c r="I78" s="160">
        <f t="shared" si="16"/>
        <v>1.0384927536231883</v>
      </c>
      <c r="J78" s="157">
        <f t="shared" si="16"/>
        <v>1.0466013653903234</v>
      </c>
      <c r="K78" s="157">
        <f t="shared" si="16"/>
        <v>1.0020080321285141</v>
      </c>
      <c r="L78" s="157">
        <f t="shared" si="16"/>
        <v>1.0549281314168377</v>
      </c>
      <c r="M78" s="157">
        <f t="shared" si="16"/>
        <v>1.2875816993464051</v>
      </c>
      <c r="N78" s="161">
        <f t="shared" si="16"/>
        <v>1.2875816993464051</v>
      </c>
    </row>
    <row r="79" spans="1:14" ht="18" customHeight="1" thickBot="1" x14ac:dyDescent="0.4">
      <c r="A79" s="138" t="s">
        <v>14</v>
      </c>
      <c r="B79" s="245">
        <f t="shared" si="15"/>
        <v>1</v>
      </c>
      <c r="C79" s="245">
        <f t="shared" si="15"/>
        <v>1</v>
      </c>
      <c r="D79" s="245">
        <f t="shared" si="15"/>
        <v>1</v>
      </c>
      <c r="E79" s="245">
        <f t="shared" si="15"/>
        <v>1</v>
      </c>
      <c r="F79" s="245">
        <f t="shared" si="15"/>
        <v>1</v>
      </c>
      <c r="G79" s="246">
        <f t="shared" si="15"/>
        <v>1</v>
      </c>
      <c r="I79" s="247">
        <f t="shared" si="16"/>
        <v>1</v>
      </c>
      <c r="J79" s="245">
        <f t="shared" si="16"/>
        <v>1</v>
      </c>
      <c r="K79" s="245">
        <f t="shared" si="16"/>
        <v>1</v>
      </c>
      <c r="L79" s="245">
        <f t="shared" si="16"/>
        <v>1</v>
      </c>
      <c r="M79" s="245">
        <f t="shared" si="16"/>
        <v>1</v>
      </c>
      <c r="N79" s="246">
        <f t="shared" si="16"/>
        <v>1</v>
      </c>
    </row>
    <row r="81" spans="1:11" s="5" customFormat="1" ht="16.5" customHeight="1" x14ac:dyDescent="0.35">
      <c r="A81" s="5" t="s">
        <v>133</v>
      </c>
    </row>
    <row r="83" spans="1:11" s="347" customFormat="1" ht="16.5" customHeight="1" x14ac:dyDescent="0.35">
      <c r="A83" s="347" t="s">
        <v>134</v>
      </c>
    </row>
    <row r="84" spans="1:11" ht="5.25" customHeight="1" thickBot="1" x14ac:dyDescent="0.4"/>
    <row r="85" spans="1:11" ht="22.5" customHeight="1" x14ac:dyDescent="0.35">
      <c r="A85" s="614" t="s">
        <v>97</v>
      </c>
      <c r="B85" s="515" t="s">
        <v>129</v>
      </c>
      <c r="C85" s="515"/>
      <c r="D85" s="515"/>
      <c r="E85" s="616" t="s">
        <v>124</v>
      </c>
      <c r="I85" s="561" t="s">
        <v>235</v>
      </c>
      <c r="J85" s="515"/>
      <c r="K85" s="516"/>
    </row>
    <row r="86" spans="1:11" ht="25.5" x14ac:dyDescent="0.35">
      <c r="A86" s="615"/>
      <c r="B86" s="563" t="s">
        <v>95</v>
      </c>
      <c r="C86" s="563" t="s">
        <v>96</v>
      </c>
      <c r="D86" s="563" t="s">
        <v>4</v>
      </c>
      <c r="E86" s="617"/>
      <c r="I86" s="565" t="s">
        <v>95</v>
      </c>
      <c r="J86" s="563" t="s">
        <v>96</v>
      </c>
      <c r="K86" s="564" t="s">
        <v>4</v>
      </c>
    </row>
    <row r="87" spans="1:11" ht="18" customHeight="1" x14ac:dyDescent="0.35">
      <c r="A87" s="185" t="s">
        <v>98</v>
      </c>
      <c r="B87" s="202">
        <f>'VI. Diseño del Peaje 2.0 TD'!B78</f>
        <v>2934296.6347444654</v>
      </c>
      <c r="C87" s="202">
        <f>'VI. Diseño del Peaje 2.0 TD'!C78</f>
        <v>978093.18416372163</v>
      </c>
      <c r="D87" s="203">
        <f>SUM(B87:C87)</f>
        <v>3912389.8189081871</v>
      </c>
      <c r="E87" s="206">
        <f>B87/D87</f>
        <v>0.75000109154852224</v>
      </c>
      <c r="I87" s="527">
        <f>B87/'I. Datos de entrada'!$I108</f>
        <v>40.40334034969753</v>
      </c>
      <c r="J87" s="523">
        <f>C87/'I. Datos de entrada'!$I108</f>
        <v>13.467701712757373</v>
      </c>
      <c r="K87" s="528">
        <f>D87/'I. Datos de entrada'!$I108</f>
        <v>53.871042062454904</v>
      </c>
    </row>
    <row r="88" spans="1:11" ht="18" customHeight="1" x14ac:dyDescent="0.35">
      <c r="A88" s="188" t="s">
        <v>99</v>
      </c>
      <c r="B88" s="204">
        <f>'Va. Peajes transporte'!B91+'Vb. Peajes distribución'!B91</f>
        <v>559679.60258132732</v>
      </c>
      <c r="C88" s="204">
        <f>'Va. Peajes transporte'!C91+'Vb. Peajes distribución'!C91</f>
        <v>214601.82548286481</v>
      </c>
      <c r="D88" s="205">
        <f t="shared" ref="D88:D92" si="17">SUM(B88:C88)</f>
        <v>774281.42806419218</v>
      </c>
      <c r="E88" s="207">
        <f t="shared" ref="E88:E92" si="18">B88/D88</f>
        <v>0.72283743648688781</v>
      </c>
      <c r="I88" s="529">
        <f>B88/'I. Datos de entrada'!$I109</f>
        <v>15.853822438509471</v>
      </c>
      <c r="J88" s="524">
        <f>C88/'I. Datos de entrada'!$I109</f>
        <v>6.0789409163628605</v>
      </c>
      <c r="K88" s="530">
        <f>D88/'I. Datos de entrada'!$I109</f>
        <v>21.932763354872332</v>
      </c>
    </row>
    <row r="89" spans="1:11" ht="18" customHeight="1" x14ac:dyDescent="0.35">
      <c r="A89" s="188" t="s">
        <v>100</v>
      </c>
      <c r="B89" s="204">
        <f>'Va. Peajes transporte'!B92+'Vb. Peajes distribución'!B92</f>
        <v>927115.73226353736</v>
      </c>
      <c r="C89" s="204">
        <f>'Va. Peajes transporte'!C92+'Vb. Peajes distribución'!C92</f>
        <v>356035.85635157349</v>
      </c>
      <c r="D89" s="205">
        <f t="shared" si="17"/>
        <v>1283151.5886151108</v>
      </c>
      <c r="E89" s="207">
        <f t="shared" si="18"/>
        <v>0.72253016751057575</v>
      </c>
      <c r="I89" s="529">
        <f>B89/'I. Datos de entrada'!$I110</f>
        <v>13.205688446745793</v>
      </c>
      <c r="J89" s="524">
        <f>C89/'I. Datos de entrada'!$I110</f>
        <v>5.0713178853842784</v>
      </c>
      <c r="K89" s="530">
        <f>D89/'I. Datos de entrada'!$I110</f>
        <v>18.277006332130071</v>
      </c>
    </row>
    <row r="90" spans="1:11" ht="18" customHeight="1" x14ac:dyDescent="0.35">
      <c r="A90" s="188" t="s">
        <v>101</v>
      </c>
      <c r="B90" s="204">
        <f>'Va. Peajes transporte'!B93+'Vb. Peajes distribución'!B93</f>
        <v>153276.66268789876</v>
      </c>
      <c r="C90" s="204">
        <f>'Va. Peajes transporte'!C93+'Vb. Peajes distribución'!C93</f>
        <v>61488.72376571218</v>
      </c>
      <c r="D90" s="205">
        <f t="shared" si="17"/>
        <v>214765.38645361093</v>
      </c>
      <c r="E90" s="207">
        <f t="shared" si="18"/>
        <v>0.71369351094668287</v>
      </c>
      <c r="I90" s="529">
        <f>B90/'I. Datos de entrada'!$I111</f>
        <v>6.7810765927703649</v>
      </c>
      <c r="J90" s="524">
        <f>C90/'I. Datos de entrada'!$I111</f>
        <v>2.7203080895361431</v>
      </c>
      <c r="K90" s="530">
        <f>D90/'I. Datos de entrada'!$I111</f>
        <v>9.501384682306508</v>
      </c>
    </row>
    <row r="91" spans="1:11" ht="18" customHeight="1" x14ac:dyDescent="0.35">
      <c r="A91" s="188" t="s">
        <v>102</v>
      </c>
      <c r="B91" s="204">
        <f>'Va. Peajes transporte'!B94+'Vb. Peajes distribución'!B94</f>
        <v>53189.409248244345</v>
      </c>
      <c r="C91" s="204">
        <f>'Va. Peajes transporte'!C94+'Vb. Peajes distribución'!C94</f>
        <v>23171.381177608782</v>
      </c>
      <c r="D91" s="205">
        <f t="shared" si="17"/>
        <v>76360.790425853134</v>
      </c>
      <c r="E91" s="207">
        <f t="shared" si="18"/>
        <v>0.69655393758517514</v>
      </c>
      <c r="I91" s="529">
        <f>B91/'I. Datos de entrada'!$I112</f>
        <v>4.7513777752572599</v>
      </c>
      <c r="J91" s="524">
        <f>C91/'I. Datos de entrada'!$I112</f>
        <v>2.0698854735435654</v>
      </c>
      <c r="K91" s="530">
        <f>D91/'I. Datos de entrada'!$I112</f>
        <v>6.8212632488008262</v>
      </c>
    </row>
    <row r="92" spans="1:11" ht="18" customHeight="1" thickBot="1" x14ac:dyDescent="0.4">
      <c r="A92" s="191" t="s">
        <v>103</v>
      </c>
      <c r="B92" s="208">
        <f>'Va. Peajes transporte'!B95+'Vb. Peajes distribución'!B95</f>
        <v>77617.423642114663</v>
      </c>
      <c r="C92" s="208">
        <f>'Va. Peajes transporte'!C95+'Vb. Peajes distribución'!C95</f>
        <v>34237.709656406783</v>
      </c>
      <c r="D92" s="209">
        <f t="shared" si="17"/>
        <v>111855.13329852145</v>
      </c>
      <c r="E92" s="210">
        <f t="shared" si="18"/>
        <v>0.69391025117253735</v>
      </c>
      <c r="I92" s="531">
        <f>B92/'I. Datos de entrada'!$I113</f>
        <v>4.2230301224797637</v>
      </c>
      <c r="J92" s="525">
        <f>C92/'I. Datos de entrada'!$I113</f>
        <v>1.8628147189012121</v>
      </c>
      <c r="K92" s="532">
        <f>D92/'I. Datos de entrada'!$I113</f>
        <v>6.0858448413809763</v>
      </c>
    </row>
    <row r="93" spans="1:11" ht="7.5" customHeight="1" thickBot="1" x14ac:dyDescent="0.4">
      <c r="I93" s="35"/>
      <c r="J93" s="35"/>
      <c r="K93" s="35"/>
    </row>
    <row r="94" spans="1:11" s="1" customFormat="1" ht="18" customHeight="1" thickBot="1" x14ac:dyDescent="0.4">
      <c r="A94" s="48" t="s">
        <v>4</v>
      </c>
      <c r="B94" s="336">
        <f>SUM(B87:B92)</f>
        <v>4705175.4651675876</v>
      </c>
      <c r="C94" s="336">
        <f>SUM(C87:C92)</f>
        <v>1667628.6805978878</v>
      </c>
      <c r="D94" s="337">
        <f>SUM(B94:C94)</f>
        <v>6372804.1457654759</v>
      </c>
      <c r="E94" s="338">
        <f>B94/D94</f>
        <v>0.73832105263960224</v>
      </c>
      <c r="I94" s="526">
        <f>B94/'I. Datos de entrada'!$I115</f>
        <v>20.429655155947536</v>
      </c>
      <c r="J94" s="526">
        <f>C94/'I. Datos de entrada'!$I115</f>
        <v>7.2407669225082048</v>
      </c>
      <c r="K94" s="526">
        <f>D94/'I. Datos de entrada'!$I115</f>
        <v>27.67042207845574</v>
      </c>
    </row>
    <row r="95" spans="1:11" s="1" customFormat="1" ht="18" customHeight="1" x14ac:dyDescent="0.35">
      <c r="A95" s="232"/>
      <c r="B95" s="233"/>
      <c r="C95" s="233"/>
      <c r="D95" s="234"/>
      <c r="E95" s="235"/>
    </row>
    <row r="96" spans="1:11" s="347" customFormat="1" ht="16.5" customHeight="1" x14ac:dyDescent="0.35">
      <c r="A96" s="347" t="s">
        <v>135</v>
      </c>
    </row>
    <row r="97" spans="1:10" ht="4.5" customHeight="1" thickBot="1" x14ac:dyDescent="0.45">
      <c r="A97" s="50"/>
    </row>
    <row r="98" spans="1:10" ht="22.5" customHeight="1" x14ac:dyDescent="0.35">
      <c r="A98" s="614" t="s">
        <v>97</v>
      </c>
      <c r="B98" s="515" t="s">
        <v>129</v>
      </c>
      <c r="C98" s="515"/>
      <c r="D98" s="515"/>
      <c r="E98" s="616" t="s">
        <v>131</v>
      </c>
    </row>
    <row r="99" spans="1:10" ht="18.75" customHeight="1" x14ac:dyDescent="0.35">
      <c r="A99" s="615"/>
      <c r="B99" s="563" t="s">
        <v>2</v>
      </c>
      <c r="C99" s="563" t="s">
        <v>130</v>
      </c>
      <c r="D99" s="563" t="s">
        <v>4</v>
      </c>
      <c r="E99" s="617"/>
    </row>
    <row r="100" spans="1:10" ht="18" customHeight="1" x14ac:dyDescent="0.35">
      <c r="A100" s="185" t="s">
        <v>98</v>
      </c>
      <c r="B100" s="202">
        <f>'VI. Diseño del Peaje 2.0 TD'!D76</f>
        <v>601480.15410833061</v>
      </c>
      <c r="C100" s="202">
        <f>'VI. Diseño del Peaje 2.0 TD'!D77</f>
        <v>3310909.664799856</v>
      </c>
      <c r="D100" s="203">
        <f>SUM(B100:C100)</f>
        <v>3912389.8189081866</v>
      </c>
      <c r="E100" s="206">
        <f t="shared" ref="E100:E105" si="19">B100/D100</f>
        <v>0.15373727617872776</v>
      </c>
      <c r="F100" s="201"/>
      <c r="G100" s="35"/>
      <c r="I100" s="201"/>
      <c r="J100" s="201"/>
    </row>
    <row r="101" spans="1:10" ht="18" customHeight="1" x14ac:dyDescent="0.35">
      <c r="A101" s="188" t="s">
        <v>99</v>
      </c>
      <c r="B101" s="204">
        <f>'Va. Peajes transporte'!D91</f>
        <v>134488.39211129796</v>
      </c>
      <c r="C101" s="204">
        <f>'Vb. Peajes distribución'!D91</f>
        <v>639793.03595289425</v>
      </c>
      <c r="D101" s="205">
        <f t="shared" ref="D101:D105" si="20">SUM(B101:C101)</f>
        <v>774281.42806419218</v>
      </c>
      <c r="E101" s="207">
        <f t="shared" si="19"/>
        <v>0.17369445686891527</v>
      </c>
      <c r="F101" s="201"/>
      <c r="G101" s="35"/>
      <c r="I101" s="201"/>
      <c r="J101" s="201"/>
    </row>
    <row r="102" spans="1:10" ht="18" customHeight="1" x14ac:dyDescent="0.35">
      <c r="A102" s="188" t="s">
        <v>100</v>
      </c>
      <c r="B102" s="204">
        <f>'Va. Peajes transporte'!D92</f>
        <v>342982.78832620155</v>
      </c>
      <c r="C102" s="204">
        <f>'Vb. Peajes distribución'!D92</f>
        <v>940168.80028890923</v>
      </c>
      <c r="D102" s="205">
        <f t="shared" si="20"/>
        <v>1283151.5886151108</v>
      </c>
      <c r="E102" s="207">
        <f t="shared" ref="E102:E104" si="21">B102/D102</f>
        <v>0.26729717000652942</v>
      </c>
      <c r="F102" s="201"/>
      <c r="G102" s="35"/>
      <c r="I102" s="201"/>
      <c r="J102" s="201"/>
    </row>
    <row r="103" spans="1:10" ht="18" customHeight="1" x14ac:dyDescent="0.35">
      <c r="A103" s="188" t="s">
        <v>101</v>
      </c>
      <c r="B103" s="204">
        <f>'Va. Peajes transporte'!D93</f>
        <v>86675.636338751123</v>
      </c>
      <c r="C103" s="204">
        <f>'Vb. Peajes distribución'!D93</f>
        <v>128089.75011485981</v>
      </c>
      <c r="D103" s="205">
        <f t="shared" si="20"/>
        <v>214765.38645361093</v>
      </c>
      <c r="E103" s="207">
        <f t="shared" si="21"/>
        <v>0.40358289466479252</v>
      </c>
      <c r="F103" s="201"/>
      <c r="G103" s="35"/>
      <c r="I103" s="201"/>
      <c r="J103" s="201"/>
    </row>
    <row r="104" spans="1:10" ht="18" customHeight="1" x14ac:dyDescent="0.35">
      <c r="A104" s="188" t="s">
        <v>102</v>
      </c>
      <c r="B104" s="204">
        <f>'Va. Peajes transporte'!D94</f>
        <v>41460.432586686598</v>
      </c>
      <c r="C104" s="204">
        <f>'Vb. Peajes distribución'!D94</f>
        <v>34900.357839166536</v>
      </c>
      <c r="D104" s="205">
        <f t="shared" si="20"/>
        <v>76360.790425853134</v>
      </c>
      <c r="E104" s="207">
        <f t="shared" si="21"/>
        <v>0.54295447120790308</v>
      </c>
      <c r="F104" s="201"/>
      <c r="G104" s="35"/>
      <c r="I104" s="201"/>
      <c r="J104" s="201"/>
    </row>
    <row r="105" spans="1:10" ht="18" customHeight="1" thickBot="1" x14ac:dyDescent="0.4">
      <c r="A105" s="191" t="s">
        <v>103</v>
      </c>
      <c r="B105" s="208">
        <f>'Va. Peajes transporte'!D95</f>
        <v>111855.13329852145</v>
      </c>
      <c r="C105" s="208">
        <f>'Vb. Peajes distribución'!D95</f>
        <v>0</v>
      </c>
      <c r="D105" s="209">
        <f t="shared" si="20"/>
        <v>111855.13329852145</v>
      </c>
      <c r="E105" s="210">
        <f t="shared" si="19"/>
        <v>1</v>
      </c>
      <c r="F105" s="201"/>
      <c r="G105" s="35"/>
      <c r="I105" s="201"/>
      <c r="J105" s="201"/>
    </row>
    <row r="106" spans="1:10" ht="7.5" customHeight="1" thickBot="1" x14ac:dyDescent="0.4"/>
    <row r="107" spans="1:10" s="1" customFormat="1" ht="18" customHeight="1" thickBot="1" x14ac:dyDescent="0.4">
      <c r="A107" s="48" t="s">
        <v>4</v>
      </c>
      <c r="B107" s="336">
        <f>SUM(B100:B105)</f>
        <v>1318942.5367697892</v>
      </c>
      <c r="C107" s="336">
        <f>SUM(C100:C105)</f>
        <v>5053861.6089956854</v>
      </c>
      <c r="D107" s="337">
        <f>SUM(B107:C107)</f>
        <v>6372804.1457654741</v>
      </c>
      <c r="E107" s="338">
        <f>B107/D107</f>
        <v>0.20696423530388652</v>
      </c>
      <c r="G107" s="35"/>
    </row>
    <row r="108" spans="1:10" x14ac:dyDescent="0.35">
      <c r="B108" s="249"/>
      <c r="C108" s="249"/>
      <c r="D108" s="201"/>
      <c r="E108" s="257"/>
    </row>
    <row r="109" spans="1:10" x14ac:dyDescent="0.35">
      <c r="B109" s="201"/>
      <c r="C109" s="201"/>
      <c r="D109" s="201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3"/>
  <sheetViews>
    <sheetView showGridLines="0" workbookViewId="0"/>
  </sheetViews>
  <sheetFormatPr baseColWidth="10" defaultRowHeight="12.75" x14ac:dyDescent="0.35"/>
  <cols>
    <col min="2" max="5" width="12.796875" bestFit="1" customWidth="1"/>
    <col min="6" max="6" width="11.796875" bestFit="1" customWidth="1"/>
    <col min="7" max="7" width="12.796875" bestFit="1" customWidth="1"/>
    <col min="9" max="13" width="13.46484375" bestFit="1" customWidth="1"/>
  </cols>
  <sheetData>
    <row r="1" spans="1:7" s="1" customFormat="1" x14ac:dyDescent="0.35"/>
    <row r="2" spans="1:7" s="1" customFormat="1" x14ac:dyDescent="0.35"/>
    <row r="3" spans="1:7" s="1" customFormat="1" x14ac:dyDescent="0.35"/>
    <row r="4" spans="1:7" s="1" customFormat="1" x14ac:dyDescent="0.35"/>
    <row r="5" spans="1:7" s="1" customFormat="1" x14ac:dyDescent="0.35"/>
    <row r="6" spans="1:7" s="325" customFormat="1" ht="44.25" customHeight="1" x14ac:dyDescent="0.35">
      <c r="A6" s="624" t="s">
        <v>205</v>
      </c>
      <c r="B6" s="624"/>
      <c r="C6" s="624"/>
      <c r="D6" s="624"/>
      <c r="E6" s="624"/>
      <c r="F6" s="624"/>
      <c r="G6" s="624"/>
    </row>
    <row r="7" spans="1:7" ht="10.5" customHeight="1" thickBot="1" x14ac:dyDescent="0.4"/>
    <row r="8" spans="1:7" ht="25.5" customHeight="1" thickBot="1" x14ac:dyDescent="0.4">
      <c r="B8" s="519" t="s">
        <v>96</v>
      </c>
      <c r="C8" s="520"/>
      <c r="D8" s="520"/>
      <c r="E8" s="520"/>
      <c r="F8" s="520"/>
      <c r="G8" s="521"/>
    </row>
    <row r="9" spans="1:7" ht="13.15" thickBot="1" x14ac:dyDescent="0.4"/>
    <row r="10" spans="1:7" ht="30" customHeight="1" x14ac:dyDescent="0.35">
      <c r="A10" s="614" t="s">
        <v>53</v>
      </c>
      <c r="B10" s="515" t="s">
        <v>136</v>
      </c>
      <c r="C10" s="515"/>
      <c r="D10" s="515"/>
      <c r="E10" s="515"/>
      <c r="F10" s="515"/>
      <c r="G10" s="516"/>
    </row>
    <row r="11" spans="1:7" ht="30" customHeight="1" x14ac:dyDescent="0.35">
      <c r="A11" s="615"/>
      <c r="B11" s="517" t="s">
        <v>15</v>
      </c>
      <c r="C11" s="517" t="s">
        <v>16</v>
      </c>
      <c r="D11" s="517" t="s">
        <v>17</v>
      </c>
      <c r="E11" s="517" t="s">
        <v>18</v>
      </c>
      <c r="F11" s="517" t="s">
        <v>19</v>
      </c>
      <c r="G11" s="518" t="s">
        <v>20</v>
      </c>
    </row>
    <row r="12" spans="1:7" ht="15" customHeight="1" x14ac:dyDescent="0.35">
      <c r="A12" s="132" t="s">
        <v>10</v>
      </c>
      <c r="B12" s="240">
        <f>'IV. Metodología de asignación'!J85</f>
        <v>0</v>
      </c>
      <c r="C12" s="133">
        <f>'IV. Metodología de asignación'!K85</f>
        <v>0</v>
      </c>
      <c r="D12" s="133">
        <f>'IV. Metodología de asignación'!L85</f>
        <v>0</v>
      </c>
      <c r="E12" s="133">
        <f>'IV. Metodología de asignación'!M85</f>
        <v>0</v>
      </c>
      <c r="F12" s="133">
        <f>'IV. Metodología de asignación'!N85</f>
        <v>0</v>
      </c>
      <c r="G12" s="134">
        <f>'IV. Metodología de asignación'!O85</f>
        <v>0</v>
      </c>
    </row>
    <row r="13" spans="1:7" ht="15" customHeight="1" x14ac:dyDescent="0.35">
      <c r="A13" s="135" t="s">
        <v>11</v>
      </c>
      <c r="B13" s="241">
        <f>'IV. Metodología de asignación'!J86</f>
        <v>64074.25585779555</v>
      </c>
      <c r="C13" s="136">
        <f>'IV. Metodología de asignación'!K86</f>
        <v>63566.021076110628</v>
      </c>
      <c r="D13" s="136">
        <f>'IV. Metodología de asignación'!L86</f>
        <v>26273.745205914987</v>
      </c>
      <c r="E13" s="136">
        <f>'IV. Metodología de asignación'!M86</f>
        <v>23278.734235980817</v>
      </c>
      <c r="F13" s="136">
        <f>'IV. Metodología de asignación'!N86</f>
        <v>253.81271573517108</v>
      </c>
      <c r="G13" s="137">
        <f>'IV. Metodología de asignación'!O86</f>
        <v>7080.5412235381027</v>
      </c>
    </row>
    <row r="14" spans="1:7" ht="15" customHeight="1" x14ac:dyDescent="0.35">
      <c r="A14" s="135" t="s">
        <v>12</v>
      </c>
      <c r="B14" s="241">
        <f>'IV. Metodología de asignación'!J88</f>
        <v>10271.868310140435</v>
      </c>
      <c r="C14" s="136">
        <f>'IV. Metodología de asignación'!K88</f>
        <v>11417.286672975149</v>
      </c>
      <c r="D14" s="136">
        <f>'IV. Metodología de asignación'!L88</f>
        <v>3822.9435584640446</v>
      </c>
      <c r="E14" s="136">
        <f>'IV. Metodología de asignación'!M88</f>
        <v>3103.0050089986967</v>
      </c>
      <c r="F14" s="136">
        <f>'IV. Metodología de asignación'!N88</f>
        <v>21.218584546786857</v>
      </c>
      <c r="G14" s="137">
        <f>'IV. Metodología de asignación'!O88</f>
        <v>828.39046139297898</v>
      </c>
    </row>
    <row r="15" spans="1:7" ht="15" customHeight="1" x14ac:dyDescent="0.35">
      <c r="A15" s="135" t="s">
        <v>13</v>
      </c>
      <c r="B15" s="241">
        <f>'IV. Metodología de asignación'!J91</f>
        <v>3509.2533304365702</v>
      </c>
      <c r="C15" s="136">
        <f>'IV. Metodología de asignación'!K91</f>
        <v>3780.0847518918754</v>
      </c>
      <c r="D15" s="136">
        <f>'IV. Metodología de asignación'!L91</f>
        <v>1467.6741307037421</v>
      </c>
      <c r="E15" s="136">
        <f>'IV. Metodología de asignación'!M91</f>
        <v>1264.7895410628307</v>
      </c>
      <c r="F15" s="136">
        <f>'IV. Metodología de asignación'!N91</f>
        <v>8.0134630966548901</v>
      </c>
      <c r="G15" s="137">
        <f>'IV. Metodología de asignación'!O91</f>
        <v>754.20935168087897</v>
      </c>
    </row>
    <row r="16" spans="1:7" ht="15" customHeight="1" thickBot="1" x14ac:dyDescent="0.4">
      <c r="A16" s="138" t="s">
        <v>14</v>
      </c>
      <c r="B16" s="242">
        <f>'IV. Metodología de asignación'!J95</f>
        <v>10743.460365494369</v>
      </c>
      <c r="C16" s="236">
        <f>'IV. Metodología de asignación'!K95</f>
        <v>12340.869976597302</v>
      </c>
      <c r="D16" s="236">
        <f>'IV. Metodología de asignación'!L95</f>
        <v>5359.8694535763179</v>
      </c>
      <c r="E16" s="236">
        <f>'IV. Metodología de asignación'!M95</f>
        <v>4039.1439257312168</v>
      </c>
      <c r="F16" s="236">
        <f>'IV. Metodología de asignación'!N95</f>
        <v>27.25406861783096</v>
      </c>
      <c r="G16" s="237">
        <f>'IV. Metodología de asignación'!O95</f>
        <v>1727.1118663897573</v>
      </c>
    </row>
    <row r="17" spans="1:16" ht="13.15" thickBot="1" x14ac:dyDescent="0.4">
      <c r="G17" s="180"/>
    </row>
    <row r="18" spans="1:16" ht="24" customHeight="1" x14ac:dyDescent="0.35">
      <c r="A18" s="614" t="s">
        <v>53</v>
      </c>
      <c r="B18" s="515" t="s">
        <v>112</v>
      </c>
      <c r="C18" s="515"/>
      <c r="D18" s="515"/>
      <c r="E18" s="515"/>
      <c r="F18" s="515"/>
      <c r="G18" s="516"/>
    </row>
    <row r="19" spans="1:16" ht="24" customHeight="1" x14ac:dyDescent="0.35">
      <c r="A19" s="615"/>
      <c r="B19" s="517" t="s">
        <v>15</v>
      </c>
      <c r="C19" s="517" t="s">
        <v>16</v>
      </c>
      <c r="D19" s="517" t="s">
        <v>17</v>
      </c>
      <c r="E19" s="517" t="s">
        <v>18</v>
      </c>
      <c r="F19" s="517" t="s">
        <v>19</v>
      </c>
      <c r="G19" s="518" t="s">
        <v>20</v>
      </c>
    </row>
    <row r="20" spans="1:16" ht="15" customHeight="1" x14ac:dyDescent="0.35">
      <c r="A20" s="132" t="s">
        <v>10</v>
      </c>
      <c r="B20" s="240">
        <f>('I. Datos de entrada'!C108+'I. Datos de entrada'!C109)*1000</f>
        <v>12160990.898959683</v>
      </c>
      <c r="C20" s="133">
        <f>('I. Datos de entrada'!D108+'I. Datos de entrada'!D109)*1000</f>
        <v>14758365.241231037</v>
      </c>
      <c r="D20" s="133">
        <f>('I. Datos de entrada'!E108+'I. Datos de entrada'!E109)*1000</f>
        <v>12390527.353300877</v>
      </c>
      <c r="E20" s="133">
        <f>('I. Datos de entrada'!F108+'I. Datos de entrada'!F109)*1000</f>
        <v>13826413.242975894</v>
      </c>
      <c r="F20" s="133">
        <f>('I. Datos de entrada'!G108+'I. Datos de entrada'!G109)*1000</f>
        <v>5528579.462173692</v>
      </c>
      <c r="G20" s="134">
        <f>('I. Datos de entrada'!H108+'I. Datos de entrada'!H109)*1000</f>
        <v>49262726.106152214</v>
      </c>
    </row>
    <row r="21" spans="1:16" ht="15" customHeight="1" x14ac:dyDescent="0.35">
      <c r="A21" s="135" t="s">
        <v>11</v>
      </c>
      <c r="B21" s="241">
        <f>'I. Datos de entrada'!C110*1000</f>
        <v>6925555.125064888</v>
      </c>
      <c r="C21" s="136">
        <f>'I. Datos de entrada'!D110*1000</f>
        <v>8704019.6073674969</v>
      </c>
      <c r="D21" s="136">
        <f>'I. Datos de entrada'!E110*1000</f>
        <v>8559882.5744621847</v>
      </c>
      <c r="E21" s="136">
        <f>'I. Datos de entrada'!F110*1000</f>
        <v>9540225.6668570265</v>
      </c>
      <c r="F21" s="136">
        <f>'I. Datos de entrada'!G110*1000</f>
        <v>3839946.113212673</v>
      </c>
      <c r="G21" s="137">
        <f>'I. Datos de entrada'!H110*1000</f>
        <v>32636156.548694991</v>
      </c>
      <c r="K21" s="254"/>
    </row>
    <row r="22" spans="1:16" ht="15" customHeight="1" x14ac:dyDescent="0.35">
      <c r="A22" s="135" t="s">
        <v>12</v>
      </c>
      <c r="B22" s="241">
        <f>'I. Datos de entrada'!C111*1000</f>
        <v>1971901.613859605</v>
      </c>
      <c r="C22" s="136">
        <f>'I. Datos de entrada'!D111*1000</f>
        <v>2635517.5851702192</v>
      </c>
      <c r="D22" s="136">
        <f>'I. Datos de entrada'!E111*1000</f>
        <v>2492656.6321280724</v>
      </c>
      <c r="E22" s="136">
        <f>'I. Datos de entrada'!F111*1000</f>
        <v>2841603.0891759801</v>
      </c>
      <c r="F22" s="136">
        <f>'I. Datos de entrada'!G111*1000</f>
        <v>1209749.9583392057</v>
      </c>
      <c r="G22" s="137">
        <f>'I. Datos de entrada'!H111*1000</f>
        <v>11452159.296590189</v>
      </c>
      <c r="K22" s="256"/>
    </row>
    <row r="23" spans="1:16" ht="15" customHeight="1" x14ac:dyDescent="0.35">
      <c r="A23" s="135" t="s">
        <v>13</v>
      </c>
      <c r="B23" s="241">
        <f>'I. Datos de entrada'!C112*1000</f>
        <v>844037.12386776693</v>
      </c>
      <c r="C23" s="136">
        <f>'I. Datos de entrada'!D112*1000</f>
        <v>1157338.1030626621</v>
      </c>
      <c r="D23" s="136">
        <f>'I. Datos de entrada'!E112*1000</f>
        <v>1141789.6975924638</v>
      </c>
      <c r="E23" s="136">
        <f>'I. Datos de entrada'!F112*1000</f>
        <v>1315374.3912975474</v>
      </c>
      <c r="F23" s="136">
        <f>'I. Datos de entrada'!G112*1000</f>
        <v>562275.17650335666</v>
      </c>
      <c r="G23" s="137">
        <f>'I. Datos de entrada'!H112*1000</f>
        <v>6173708.8152581705</v>
      </c>
    </row>
    <row r="24" spans="1:16" ht="15" customHeight="1" thickBot="1" x14ac:dyDescent="0.4">
      <c r="A24" s="138" t="s">
        <v>14</v>
      </c>
      <c r="B24" s="242">
        <f>'I. Datos de entrada'!C113*1000</f>
        <v>1245605.919069825</v>
      </c>
      <c r="C24" s="236">
        <f>'I. Datos de entrada'!D113*1000</f>
        <v>1831431.3380180141</v>
      </c>
      <c r="D24" s="236">
        <f>'I. Datos de entrada'!E113*1000</f>
        <v>1793620.369415889</v>
      </c>
      <c r="E24" s="236">
        <f>'I. Datos de entrada'!F113*1000</f>
        <v>2073909.5333330911</v>
      </c>
      <c r="F24" s="236">
        <f>'I. Datos de entrada'!G113*1000</f>
        <v>917621.02383539057</v>
      </c>
      <c r="G24" s="237">
        <f>'I. Datos de entrada'!H113*1000</f>
        <v>10517369.00417416</v>
      </c>
    </row>
    <row r="25" spans="1:16" ht="15" customHeight="1" thickBot="1" x14ac:dyDescent="0.4">
      <c r="A25" s="446"/>
      <c r="B25" s="445"/>
      <c r="C25" s="445"/>
      <c r="D25" s="445"/>
      <c r="E25" s="445"/>
      <c r="F25" s="445"/>
    </row>
    <row r="26" spans="1:16" ht="30" customHeight="1" x14ac:dyDescent="0.35">
      <c r="A26" s="614" t="s">
        <v>53</v>
      </c>
      <c r="B26" s="515" t="s">
        <v>137</v>
      </c>
      <c r="C26" s="515"/>
      <c r="D26" s="515"/>
      <c r="E26" s="515"/>
      <c r="F26" s="515"/>
      <c r="G26" s="516"/>
    </row>
    <row r="27" spans="1:16" ht="30" customHeight="1" x14ac:dyDescent="0.35">
      <c r="A27" s="615"/>
      <c r="B27" s="517" t="s">
        <v>15</v>
      </c>
      <c r="C27" s="517" t="s">
        <v>16</v>
      </c>
      <c r="D27" s="517" t="s">
        <v>17</v>
      </c>
      <c r="E27" s="517" t="s">
        <v>18</v>
      </c>
      <c r="F27" s="517" t="s">
        <v>19</v>
      </c>
      <c r="G27" s="518" t="s">
        <v>20</v>
      </c>
    </row>
    <row r="28" spans="1:16" ht="15" customHeight="1" x14ac:dyDescent="0.35">
      <c r="A28" s="132" t="s">
        <v>10</v>
      </c>
      <c r="B28" s="243">
        <f>B12/B20</f>
        <v>0</v>
      </c>
      <c r="C28" s="172">
        <f t="shared" ref="C28:G28" si="0">C12/C20</f>
        <v>0</v>
      </c>
      <c r="D28" s="172">
        <f t="shared" si="0"/>
        <v>0</v>
      </c>
      <c r="E28" s="172">
        <f t="shared" si="0"/>
        <v>0</v>
      </c>
      <c r="F28" s="172">
        <f t="shared" si="0"/>
        <v>0</v>
      </c>
      <c r="G28" s="173">
        <f t="shared" si="0"/>
        <v>0</v>
      </c>
      <c r="I28" s="328"/>
      <c r="J28" s="328"/>
      <c r="K28" s="328"/>
      <c r="L28" s="328"/>
      <c r="M28" s="328"/>
      <c r="N28" s="328"/>
      <c r="O28" s="328"/>
      <c r="P28" s="328"/>
    </row>
    <row r="29" spans="1:16" ht="15" customHeight="1" x14ac:dyDescent="0.35">
      <c r="A29" s="135" t="s">
        <v>11</v>
      </c>
      <c r="B29" s="244">
        <f t="shared" ref="B29:F29" si="1">B13/B21</f>
        <v>9.2518584720954356E-3</v>
      </c>
      <c r="C29" s="244">
        <f t="shared" si="1"/>
        <v>7.3030650140430888E-3</v>
      </c>
      <c r="D29" s="244">
        <f t="shared" si="1"/>
        <v>3.0694048636018536E-3</v>
      </c>
      <c r="E29" s="244">
        <f t="shared" si="1"/>
        <v>2.4400611734847846E-3</v>
      </c>
      <c r="F29" s="448">
        <f t="shared" si="1"/>
        <v>6.6097988943605217E-5</v>
      </c>
      <c r="G29" s="449">
        <f>G13/G21</f>
        <v>2.1695389323719952E-4</v>
      </c>
      <c r="I29" s="328"/>
      <c r="J29" s="328"/>
      <c r="K29" s="328"/>
      <c r="L29" s="328"/>
      <c r="M29" s="328"/>
      <c r="N29" s="328"/>
      <c r="O29" s="328"/>
      <c r="P29" s="328"/>
    </row>
    <row r="30" spans="1:16" ht="15" customHeight="1" x14ac:dyDescent="0.35">
      <c r="A30" s="135" t="s">
        <v>12</v>
      </c>
      <c r="B30" s="244">
        <f t="shared" ref="B30:G30" si="2">B14/B22</f>
        <v>5.2091180604266034E-3</v>
      </c>
      <c r="C30" s="244">
        <f t="shared" si="2"/>
        <v>4.3320851802389872E-3</v>
      </c>
      <c r="D30" s="244">
        <f t="shared" si="2"/>
        <v>1.5336823809544346E-3</v>
      </c>
      <c r="E30" s="244">
        <f t="shared" si="2"/>
        <v>1.0919910035354441E-3</v>
      </c>
      <c r="F30" s="448">
        <f t="shared" si="2"/>
        <v>1.7539644784048266E-5</v>
      </c>
      <c r="G30" s="449">
        <f t="shared" si="2"/>
        <v>7.2334870650954641E-5</v>
      </c>
      <c r="I30" s="328"/>
      <c r="J30" s="328"/>
      <c r="K30" s="328"/>
      <c r="L30" s="328"/>
      <c r="M30" s="328"/>
      <c r="N30" s="328"/>
      <c r="O30" s="328"/>
      <c r="P30" s="328"/>
    </row>
    <row r="31" spans="1:16" ht="15" customHeight="1" x14ac:dyDescent="0.35">
      <c r="A31" s="135" t="s">
        <v>13</v>
      </c>
      <c r="B31" s="244">
        <f t="shared" ref="B31:G31" si="3">B15/B23</f>
        <v>4.1577002138905392E-3</v>
      </c>
      <c r="C31" s="244">
        <f t="shared" si="3"/>
        <v>3.2661888016031295E-3</v>
      </c>
      <c r="D31" s="244">
        <f t="shared" si="3"/>
        <v>1.2854154611820605E-3</v>
      </c>
      <c r="E31" s="244">
        <f t="shared" si="3"/>
        <v>9.6154338219644271E-4</v>
      </c>
      <c r="F31" s="448">
        <f t="shared" si="3"/>
        <v>1.4251852885429757E-5</v>
      </c>
      <c r="G31" s="449">
        <f t="shared" si="3"/>
        <v>1.2216471075164235E-4</v>
      </c>
      <c r="I31" s="328"/>
      <c r="J31" s="328"/>
      <c r="K31" s="328"/>
      <c r="L31" s="328"/>
      <c r="M31" s="328"/>
      <c r="N31" s="328"/>
      <c r="O31" s="328"/>
      <c r="P31" s="328"/>
    </row>
    <row r="32" spans="1:16" ht="15" customHeight="1" thickBot="1" x14ac:dyDescent="0.4">
      <c r="A32" s="138" t="s">
        <v>14</v>
      </c>
      <c r="B32" s="178">
        <f t="shared" ref="B32:G32" si="4">B16/B24</f>
        <v>8.6250877593109145E-3</v>
      </c>
      <c r="C32" s="447">
        <f t="shared" si="4"/>
        <v>6.7383743634924715E-3</v>
      </c>
      <c r="D32" s="447">
        <f t="shared" si="4"/>
        <v>2.9882964895864865E-3</v>
      </c>
      <c r="E32" s="447">
        <f t="shared" si="4"/>
        <v>1.9475988999576525E-3</v>
      </c>
      <c r="F32" s="238">
        <f t="shared" si="4"/>
        <v>2.9700789225509277E-5</v>
      </c>
      <c r="G32" s="239">
        <f t="shared" si="4"/>
        <v>1.6421520113103351E-4</v>
      </c>
      <c r="I32" s="328"/>
      <c r="J32" s="328"/>
      <c r="K32" s="328"/>
      <c r="L32" s="328"/>
      <c r="M32" s="328"/>
      <c r="N32" s="328"/>
      <c r="O32" s="328"/>
      <c r="P32" s="328"/>
    </row>
    <row r="33" spans="1:16" x14ac:dyDescent="0.35">
      <c r="A33" s="130"/>
      <c r="B33" s="131"/>
      <c r="C33" s="131"/>
      <c r="D33" s="131"/>
      <c r="E33" s="131"/>
      <c r="F33" s="131"/>
      <c r="G33" s="131"/>
    </row>
    <row r="34" spans="1:16" ht="33" customHeight="1" thickBot="1" x14ac:dyDescent="0.45">
      <c r="A34" s="625" t="s">
        <v>221</v>
      </c>
      <c r="B34" s="625"/>
      <c r="C34" s="625"/>
      <c r="D34" s="625"/>
      <c r="E34" s="625"/>
      <c r="F34" s="625"/>
      <c r="G34" s="625"/>
    </row>
    <row r="35" spans="1:16" ht="30" customHeight="1" x14ac:dyDescent="0.35">
      <c r="A35" s="614" t="s">
        <v>53</v>
      </c>
      <c r="B35" s="515" t="s">
        <v>222</v>
      </c>
      <c r="C35" s="515"/>
      <c r="D35" s="515"/>
      <c r="E35" s="515"/>
      <c r="F35" s="515"/>
      <c r="G35" s="516"/>
    </row>
    <row r="36" spans="1:16" ht="30" customHeight="1" x14ac:dyDescent="0.35">
      <c r="A36" s="615"/>
      <c r="B36" s="517" t="s">
        <v>15</v>
      </c>
      <c r="C36" s="517" t="s">
        <v>16</v>
      </c>
      <c r="D36" s="517" t="s">
        <v>17</v>
      </c>
      <c r="E36" s="517" t="s">
        <v>18</v>
      </c>
      <c r="F36" s="517" t="s">
        <v>19</v>
      </c>
      <c r="G36" s="518" t="s">
        <v>20</v>
      </c>
    </row>
    <row r="37" spans="1:16" ht="15" customHeight="1" x14ac:dyDescent="0.35">
      <c r="A37" s="132" t="s">
        <v>10</v>
      </c>
      <c r="B37" s="243">
        <f t="shared" ref="B37:G37" si="5">B12/B20</f>
        <v>0</v>
      </c>
      <c r="C37" s="172">
        <f t="shared" si="5"/>
        <v>0</v>
      </c>
      <c r="D37" s="172">
        <f t="shared" si="5"/>
        <v>0</v>
      </c>
      <c r="E37" s="172">
        <f t="shared" si="5"/>
        <v>0</v>
      </c>
      <c r="F37" s="172">
        <f t="shared" si="5"/>
        <v>0</v>
      </c>
      <c r="G37" s="173">
        <f t="shared" si="5"/>
        <v>0</v>
      </c>
      <c r="I37" s="328"/>
      <c r="J37" s="328"/>
      <c r="K37" s="328"/>
      <c r="L37" s="328"/>
      <c r="M37" s="328"/>
      <c r="N37" s="328"/>
      <c r="O37" s="328"/>
      <c r="P37" s="328"/>
    </row>
    <row r="38" spans="1:16" ht="15" customHeight="1" x14ac:dyDescent="0.35">
      <c r="A38" s="135" t="s">
        <v>11</v>
      </c>
      <c r="B38" s="244">
        <f>ROUND(B13/B21,6)</f>
        <v>9.2519999999999998E-3</v>
      </c>
      <c r="C38" s="244">
        <f t="shared" ref="C38:E38" si="6">ROUND(C13/C21,6)</f>
        <v>7.3029999999999996E-3</v>
      </c>
      <c r="D38" s="244">
        <f t="shared" si="6"/>
        <v>3.0690000000000001E-3</v>
      </c>
      <c r="E38" s="244">
        <f t="shared" si="6"/>
        <v>2.4399999999999999E-3</v>
      </c>
      <c r="F38" s="448">
        <f>ROUND(SUM(F13:G13)/SUM(F21:G21),6)</f>
        <v>2.0100000000000001E-4</v>
      </c>
      <c r="G38" s="449">
        <f>F38</f>
        <v>2.0100000000000001E-4</v>
      </c>
      <c r="I38" s="328"/>
      <c r="J38" s="328"/>
      <c r="K38" s="328"/>
      <c r="L38" s="328"/>
      <c r="M38" s="328"/>
      <c r="N38" s="328"/>
      <c r="O38" s="328"/>
      <c r="P38" s="328"/>
    </row>
    <row r="39" spans="1:16" ht="15" customHeight="1" x14ac:dyDescent="0.35">
      <c r="A39" s="135" t="s">
        <v>12</v>
      </c>
      <c r="B39" s="244">
        <f t="shared" ref="B39:E39" si="7">ROUND(B14/B22,6)</f>
        <v>5.2090000000000001E-3</v>
      </c>
      <c r="C39" s="244">
        <f t="shared" si="7"/>
        <v>4.3319999999999999E-3</v>
      </c>
      <c r="D39" s="244">
        <f t="shared" si="7"/>
        <v>1.534E-3</v>
      </c>
      <c r="E39" s="244">
        <f t="shared" si="7"/>
        <v>1.0920000000000001E-3</v>
      </c>
      <c r="F39" s="448">
        <f>ROUND(SUM(F14:G14)/SUM(F22:G22),6)</f>
        <v>6.7000000000000002E-5</v>
      </c>
      <c r="G39" s="449">
        <f>F39</f>
        <v>6.7000000000000002E-5</v>
      </c>
      <c r="I39" s="328"/>
      <c r="J39" s="328"/>
      <c r="K39" s="328"/>
      <c r="L39" s="328"/>
      <c r="M39" s="328"/>
      <c r="N39" s="328"/>
      <c r="O39" s="328"/>
      <c r="P39" s="328"/>
    </row>
    <row r="40" spans="1:16" ht="15" customHeight="1" x14ac:dyDescent="0.35">
      <c r="A40" s="135" t="s">
        <v>13</v>
      </c>
      <c r="B40" s="244">
        <f t="shared" ref="B40:E40" si="8">ROUND(B15/B23,6)</f>
        <v>4.1580000000000002E-3</v>
      </c>
      <c r="C40" s="244">
        <f t="shared" si="8"/>
        <v>3.2659999999999998E-3</v>
      </c>
      <c r="D40" s="244">
        <f t="shared" si="8"/>
        <v>1.2849999999999999E-3</v>
      </c>
      <c r="E40" s="244">
        <f t="shared" si="8"/>
        <v>9.6199999999999996E-4</v>
      </c>
      <c r="F40" s="448">
        <f>ROUND(SUM(F15:G15)/SUM(F23:G23),6)</f>
        <v>1.13E-4</v>
      </c>
      <c r="G40" s="449">
        <f>F40</f>
        <v>1.13E-4</v>
      </c>
      <c r="I40" s="328"/>
      <c r="J40" s="328"/>
      <c r="K40" s="328"/>
      <c r="L40" s="328"/>
      <c r="M40" s="328"/>
      <c r="N40" s="328"/>
      <c r="O40" s="328"/>
      <c r="P40" s="328"/>
    </row>
    <row r="41" spans="1:16" ht="15" customHeight="1" thickBot="1" x14ac:dyDescent="0.4">
      <c r="A41" s="138" t="s">
        <v>14</v>
      </c>
      <c r="B41" s="178">
        <f t="shared" ref="B41:E41" si="9">ROUND(B16/B24,6)</f>
        <v>8.6250000000000007E-3</v>
      </c>
      <c r="C41" s="447">
        <f t="shared" si="9"/>
        <v>6.7380000000000001E-3</v>
      </c>
      <c r="D41" s="447">
        <f t="shared" si="9"/>
        <v>2.9880000000000002E-3</v>
      </c>
      <c r="E41" s="447">
        <f t="shared" si="9"/>
        <v>1.9480000000000001E-3</v>
      </c>
      <c r="F41" s="238">
        <f>ROUND(SUM(F16:G16)/SUM(F24:G24),6)</f>
        <v>1.5300000000000001E-4</v>
      </c>
      <c r="G41" s="239">
        <f>F41</f>
        <v>1.5300000000000001E-4</v>
      </c>
      <c r="I41" s="328"/>
      <c r="J41" s="328"/>
      <c r="K41" s="328"/>
      <c r="L41" s="328"/>
      <c r="M41" s="328"/>
      <c r="N41" s="328"/>
      <c r="O41" s="328"/>
      <c r="P41" s="328"/>
    </row>
    <row r="43" spans="1:16" x14ac:dyDescent="0.35">
      <c r="B43" s="180"/>
      <c r="C43" s="154"/>
      <c r="D43" s="65"/>
    </row>
  </sheetData>
  <mergeCells count="6">
    <mergeCell ref="A10:A11"/>
    <mergeCell ref="A18:A19"/>
    <mergeCell ref="A35:A36"/>
    <mergeCell ref="A6:G6"/>
    <mergeCell ref="A26:A27"/>
    <mergeCell ref="A34:G3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5"/>
  <sheetViews>
    <sheetView showGridLines="0" workbookViewId="0">
      <selection activeCell="K76" sqref="K76"/>
    </sheetView>
  </sheetViews>
  <sheetFormatPr baseColWidth="10" defaultRowHeight="12.75" x14ac:dyDescent="0.35"/>
  <cols>
    <col min="1" max="1" width="12.73046875" bestFit="1" customWidth="1"/>
    <col min="2" max="2" width="14.796875" customWidth="1"/>
    <col min="3" max="3" width="14.53125" customWidth="1"/>
    <col min="4" max="13" width="15.19921875" bestFit="1" customWidth="1"/>
  </cols>
  <sheetData>
    <row r="1" spans="1:4" s="1" customFormat="1" x14ac:dyDescent="0.35"/>
    <row r="2" spans="1:4" s="1" customFormat="1" x14ac:dyDescent="0.35"/>
    <row r="3" spans="1:4" s="1" customFormat="1" x14ac:dyDescent="0.35"/>
    <row r="4" spans="1:4" s="1" customFormat="1" x14ac:dyDescent="0.35"/>
    <row r="5" spans="1:4" s="1" customFormat="1" x14ac:dyDescent="0.35"/>
    <row r="6" spans="1:4" s="325" customFormat="1" ht="30" customHeight="1" x14ac:dyDescent="0.35">
      <c r="A6" s="325" t="s">
        <v>194</v>
      </c>
    </row>
    <row r="8" spans="1:4" s="335" customFormat="1" ht="15" x14ac:dyDescent="0.4">
      <c r="A8" s="348" t="s">
        <v>162</v>
      </c>
    </row>
    <row r="9" spans="1:4" ht="13.15" thickBot="1" x14ac:dyDescent="0.4"/>
    <row r="10" spans="1:4" ht="13.5" thickBot="1" x14ac:dyDescent="0.4">
      <c r="A10" s="393" t="s">
        <v>166</v>
      </c>
      <c r="B10" s="1"/>
      <c r="C10" s="1"/>
    </row>
    <row r="11" spans="1:4" ht="18" customHeight="1" x14ac:dyDescent="0.35">
      <c r="A11" s="394" t="s">
        <v>163</v>
      </c>
      <c r="B11" s="395"/>
      <c r="C11" s="396">
        <v>50</v>
      </c>
    </row>
    <row r="12" spans="1:4" ht="18" customHeight="1" x14ac:dyDescent="0.35">
      <c r="A12" s="397" t="s">
        <v>164</v>
      </c>
      <c r="B12" s="398"/>
      <c r="C12" s="399">
        <v>28.799969999999998</v>
      </c>
    </row>
    <row r="13" spans="1:4" ht="18" customHeight="1" x14ac:dyDescent="0.35">
      <c r="A13" s="397" t="s">
        <v>165</v>
      </c>
      <c r="B13" s="398"/>
      <c r="C13" s="399">
        <f>C11*C12/60</f>
        <v>23.999974999999999</v>
      </c>
    </row>
    <row r="14" spans="1:4" ht="18" customHeight="1" x14ac:dyDescent="0.35">
      <c r="A14" s="397" t="s">
        <v>167</v>
      </c>
      <c r="B14" s="398"/>
      <c r="C14" s="400">
        <v>0.1</v>
      </c>
    </row>
    <row r="15" spans="1:4" ht="18" customHeight="1" thickBot="1" x14ac:dyDescent="0.4">
      <c r="A15" s="401" t="s">
        <v>168</v>
      </c>
      <c r="B15" s="402"/>
      <c r="C15" s="403">
        <f>C11*8760*C14</f>
        <v>43800</v>
      </c>
    </row>
    <row r="16" spans="1:4" ht="13.15" thickBot="1" x14ac:dyDescent="0.4">
      <c r="A16" s="312"/>
      <c r="D16" s="313"/>
    </row>
    <row r="17" spans="1:21" s="269" customFormat="1" ht="25.05" customHeight="1" x14ac:dyDescent="0.35">
      <c r="A17" s="620" t="s">
        <v>142</v>
      </c>
      <c r="B17" s="515" t="s">
        <v>171</v>
      </c>
      <c r="C17" s="515"/>
      <c r="D17" s="515"/>
      <c r="E17" s="515"/>
      <c r="F17" s="515"/>
      <c r="G17" s="515"/>
      <c r="H17" s="566" t="s">
        <v>172</v>
      </c>
      <c r="I17" s="566"/>
      <c r="J17" s="572"/>
      <c r="K17" s="572"/>
      <c r="L17" s="572"/>
      <c r="M17" s="567"/>
    </row>
    <row r="18" spans="1:21" s="269" customFormat="1" ht="25.05" customHeight="1" x14ac:dyDescent="0.35">
      <c r="A18" s="621"/>
      <c r="B18" s="517" t="s">
        <v>15</v>
      </c>
      <c r="C18" s="517" t="s">
        <v>16</v>
      </c>
      <c r="D18" s="517" t="s">
        <v>17</v>
      </c>
      <c r="E18" s="517" t="s">
        <v>18</v>
      </c>
      <c r="F18" s="517" t="s">
        <v>19</v>
      </c>
      <c r="G18" s="517" t="s">
        <v>20</v>
      </c>
      <c r="H18" s="517" t="s">
        <v>15</v>
      </c>
      <c r="I18" s="517" t="s">
        <v>16</v>
      </c>
      <c r="J18" s="517" t="s">
        <v>17</v>
      </c>
      <c r="K18" s="517" t="s">
        <v>18</v>
      </c>
      <c r="L18" s="517" t="s">
        <v>19</v>
      </c>
      <c r="M18" s="518" t="s">
        <v>20</v>
      </c>
    </row>
    <row r="19" spans="1:21" s="269" customFormat="1" ht="30" customHeight="1" x14ac:dyDescent="0.35">
      <c r="A19" s="304" t="s">
        <v>2</v>
      </c>
      <c r="B19" s="308">
        <f>'Va. Peajes transporte'!B80</f>
        <v>1.5014993053011314</v>
      </c>
      <c r="C19" s="308">
        <f>'Va. Peajes transporte'!C80</f>
        <v>1.5014993053011314</v>
      </c>
      <c r="D19" s="308">
        <f>'Va. Peajes transporte'!D80</f>
        <v>0.46213282931674449</v>
      </c>
      <c r="E19" s="308">
        <f>'Va. Peajes transporte'!E80</f>
        <v>0.32826062541497714</v>
      </c>
      <c r="F19" s="308">
        <f>'Va. Peajes transporte'!F80</f>
        <v>7.7145645607367169E-2</v>
      </c>
      <c r="G19" s="308">
        <f>'Va. Peajes transporte'!G80</f>
        <v>7.7145645607367169E-2</v>
      </c>
      <c r="H19" s="482">
        <f>'Va. Peajes transporte'!I80</f>
        <v>5.1048376380386567E-3</v>
      </c>
      <c r="I19" s="482">
        <f>'Va. Peajes transporte'!J80</f>
        <v>4.1029764205601999E-3</v>
      </c>
      <c r="J19" s="482">
        <f>'Va. Peajes transporte'!K80</f>
        <v>1.7914677450709005E-3</v>
      </c>
      <c r="K19" s="482">
        <f>'Va. Peajes transporte'!L80</f>
        <v>1.1282047762726597E-3</v>
      </c>
      <c r="L19" s="482">
        <f>'Va. Peajes transporte'!M80</f>
        <v>9.3347605338733999E-5</v>
      </c>
      <c r="M19" s="483">
        <f>'Va. Peajes transporte'!N80</f>
        <v>9.3347605338733999E-5</v>
      </c>
      <c r="O19" s="275"/>
      <c r="P19" s="274"/>
      <c r="Q19" s="274"/>
      <c r="R19" s="274"/>
      <c r="S19" s="274"/>
      <c r="T19" s="274"/>
      <c r="U19" s="270"/>
    </row>
    <row r="20" spans="1:21" s="269" customFormat="1" ht="30" customHeight="1" x14ac:dyDescent="0.35">
      <c r="A20" s="314" t="s">
        <v>146</v>
      </c>
      <c r="B20" s="315">
        <f>'Vb. Peajes distribución'!B80</f>
        <v>8.7657925981670974</v>
      </c>
      <c r="C20" s="315">
        <f>'Vb. Peajes distribución'!C80</f>
        <v>8.5383435823330522</v>
      </c>
      <c r="D20" s="315">
        <f>'Vb. Peajes distribución'!D80</f>
        <v>2.189137505776809</v>
      </c>
      <c r="E20" s="315">
        <f>'Vb. Peajes distribución'!E80</f>
        <v>1.9749380608579121</v>
      </c>
      <c r="F20" s="315">
        <f>'Vb. Peajes distribución'!F80</f>
        <v>1.3047868110830922</v>
      </c>
      <c r="G20" s="315">
        <f>'Vb. Peajes distribución'!G80</f>
        <v>1.3047868110830922</v>
      </c>
      <c r="H20" s="484">
        <f>'Vb. Peajes distribución'!I80</f>
        <v>1.4361013217699203E-2</v>
      </c>
      <c r="I20" s="484">
        <f>'Vb. Peajes distribución'!J80</f>
        <v>1.1582118156390805E-2</v>
      </c>
      <c r="J20" s="484">
        <f>'Vb. Peajes distribución'!K80</f>
        <v>4.5906412852220252E-3</v>
      </c>
      <c r="K20" s="484">
        <f>'Vb. Peajes distribución'!L80</f>
        <v>3.5168976204790845E-3</v>
      </c>
      <c r="L20" s="484">
        <f>'Vb. Peajes distribución'!M80</f>
        <v>3.1904119379674276E-4</v>
      </c>
      <c r="M20" s="485">
        <f>'Vb. Peajes distribución'!N80</f>
        <v>3.1904119379674276E-4</v>
      </c>
      <c r="O20" s="275"/>
      <c r="P20" s="274"/>
      <c r="Q20" s="274"/>
      <c r="R20" s="274"/>
      <c r="S20" s="274"/>
      <c r="T20" s="274"/>
      <c r="U20" s="270"/>
    </row>
    <row r="21" spans="1:21" s="269" customFormat="1" ht="30" customHeight="1" thickBot="1" x14ac:dyDescent="0.4">
      <c r="A21" s="329" t="s">
        <v>150</v>
      </c>
      <c r="B21" s="330">
        <f>SUM(B19:B20)</f>
        <v>10.267291903468228</v>
      </c>
      <c r="C21" s="330">
        <f>SUM(C19:C20)</f>
        <v>10.039842887634183</v>
      </c>
      <c r="D21" s="330">
        <f t="shared" ref="D21:G21" si="0">SUM(D19:D20)</f>
        <v>2.6512703350935536</v>
      </c>
      <c r="E21" s="330">
        <f t="shared" si="0"/>
        <v>2.3031986862728893</v>
      </c>
      <c r="F21" s="330">
        <f t="shared" si="0"/>
        <v>1.3819324566904594</v>
      </c>
      <c r="G21" s="330">
        <f t="shared" si="0"/>
        <v>1.3819324566904594</v>
      </c>
      <c r="H21" s="486">
        <f>SUM(H19:H20)</f>
        <v>1.9465850855737859E-2</v>
      </c>
      <c r="I21" s="486">
        <f t="shared" ref="I21" si="1">SUM(I19:I20)</f>
        <v>1.5685094576951004E-2</v>
      </c>
      <c r="J21" s="486">
        <f t="shared" ref="J21" si="2">SUM(J19:J20)</f>
        <v>6.3821090302929257E-3</v>
      </c>
      <c r="K21" s="486">
        <f t="shared" ref="K21" si="3">SUM(K19:K20)</f>
        <v>4.6451023967517442E-3</v>
      </c>
      <c r="L21" s="486">
        <f t="shared" ref="L21" si="4">SUM(L19:L20)</f>
        <v>4.1238879913547673E-4</v>
      </c>
      <c r="M21" s="487">
        <f t="shared" ref="M21" si="5">SUM(M19:M20)</f>
        <v>4.1238879913547673E-4</v>
      </c>
      <c r="O21" s="275"/>
      <c r="P21" s="274"/>
      <c r="Q21" s="274"/>
      <c r="R21" s="274"/>
      <c r="S21" s="274"/>
      <c r="T21" s="274"/>
      <c r="U21" s="270"/>
    </row>
    <row r="22" spans="1:21" ht="13.15" thickBot="1" x14ac:dyDescent="0.4">
      <c r="A22" s="311"/>
      <c r="B22" s="328"/>
      <c r="C22" s="328"/>
      <c r="D22" s="328"/>
      <c r="E22" s="328"/>
      <c r="F22" s="328"/>
      <c r="G22" s="328"/>
      <c r="H22" s="328"/>
      <c r="I22" s="328"/>
      <c r="J22" s="328"/>
      <c r="K22" s="328"/>
      <c r="L22" s="328"/>
      <c r="M22" s="328"/>
    </row>
    <row r="23" spans="1:21" s="269" customFormat="1" ht="23.25" customHeight="1" x14ac:dyDescent="0.35">
      <c r="A23" s="620" t="s">
        <v>142</v>
      </c>
      <c r="B23" s="515" t="s">
        <v>169</v>
      </c>
      <c r="C23" s="515"/>
      <c r="D23" s="515"/>
      <c r="E23" s="616" t="s">
        <v>124</v>
      </c>
    </row>
    <row r="24" spans="1:21" s="269" customFormat="1" ht="38.25" x14ac:dyDescent="0.35">
      <c r="A24" s="621"/>
      <c r="B24" s="563" t="s">
        <v>173</v>
      </c>
      <c r="C24" s="563" t="s">
        <v>174</v>
      </c>
      <c r="D24" s="563" t="s">
        <v>175</v>
      </c>
      <c r="E24" s="617"/>
    </row>
    <row r="25" spans="1:21" ht="18" customHeight="1" x14ac:dyDescent="0.35">
      <c r="A25" s="306" t="s">
        <v>152</v>
      </c>
      <c r="B25" s="309">
        <f>$C$11*SUM(B19:G19)</f>
        <v>197.38416782743596</v>
      </c>
      <c r="C25" s="309">
        <f>$C$15*AVERAGE(H19:M19)</f>
        <v>89.89352707152517</v>
      </c>
      <c r="D25" s="309">
        <f>SUM(B25:C25)</f>
        <v>287.27769489896116</v>
      </c>
      <c r="E25" s="406">
        <f t="shared" ref="E25" si="6">B25/D25</f>
        <v>0.68708490541480505</v>
      </c>
      <c r="F25" s="201"/>
      <c r="G25" s="201"/>
      <c r="I25" s="201"/>
      <c r="J25" s="201"/>
      <c r="K25" s="201"/>
      <c r="L25" s="201"/>
    </row>
    <row r="26" spans="1:21" ht="18" customHeight="1" x14ac:dyDescent="0.35">
      <c r="A26" s="316" t="s">
        <v>153</v>
      </c>
      <c r="B26" s="407">
        <f>$C$11*SUM(B20:G20)</f>
        <v>1203.8892684650527</v>
      </c>
      <c r="C26" s="407">
        <f>$C$15*AVERAGE(H20:M20)</f>
        <v>253.2278944719076</v>
      </c>
      <c r="D26" s="407">
        <f>SUM(B26:C26)</f>
        <v>1457.1171629369603</v>
      </c>
      <c r="E26" s="408">
        <f>B26/D26</f>
        <v>0.82621308641955582</v>
      </c>
      <c r="F26" s="201"/>
      <c r="G26" s="201"/>
      <c r="I26" s="201"/>
      <c r="J26" s="201"/>
      <c r="K26" s="201"/>
      <c r="L26" s="201"/>
    </row>
    <row r="27" spans="1:21" ht="18" customHeight="1" thickBot="1" x14ac:dyDescent="0.4">
      <c r="A27" s="339" t="s">
        <v>4</v>
      </c>
      <c r="B27" s="409">
        <f>SUM(B25:B26)</f>
        <v>1401.2734362924887</v>
      </c>
      <c r="C27" s="409">
        <f t="shared" ref="C27:D27" si="7">SUM(C25:C26)</f>
        <v>343.1214215434328</v>
      </c>
      <c r="D27" s="409">
        <f t="shared" si="7"/>
        <v>1744.3948578359214</v>
      </c>
      <c r="E27" s="410">
        <f>B27/D27</f>
        <v>0.80330060020406979</v>
      </c>
      <c r="F27" s="201"/>
      <c r="G27" s="201"/>
    </row>
    <row r="28" spans="1:21" s="269" customFormat="1" x14ac:dyDescent="0.35"/>
    <row r="29" spans="1:21" s="269" customFormat="1" ht="13.15" thickBot="1" x14ac:dyDescent="0.4"/>
    <row r="30" spans="1:21" s="269" customFormat="1" ht="36.75" customHeight="1" x14ac:dyDescent="0.35">
      <c r="A30" s="620" t="s">
        <v>142</v>
      </c>
      <c r="B30" s="515" t="s">
        <v>170</v>
      </c>
      <c r="C30" s="516"/>
    </row>
    <row r="31" spans="1:21" s="269" customFormat="1" ht="51" x14ac:dyDescent="0.35">
      <c r="A31" s="621"/>
      <c r="B31" s="563" t="s">
        <v>176</v>
      </c>
      <c r="C31" s="564" t="s">
        <v>177</v>
      </c>
    </row>
    <row r="32" spans="1:21" ht="18" customHeight="1" x14ac:dyDescent="0.35">
      <c r="A32" s="306" t="s">
        <v>152</v>
      </c>
      <c r="B32" s="411">
        <f>D25*20%/B25</f>
        <v>0.29108484035063548</v>
      </c>
      <c r="C32" s="412">
        <f>D25*80%/C25</f>
        <v>2.5566040559995762</v>
      </c>
      <c r="D32" s="269"/>
      <c r="E32" s="269"/>
      <c r="F32" s="201"/>
      <c r="G32" s="201"/>
      <c r="I32" s="201"/>
      <c r="J32" s="201"/>
      <c r="K32" s="201"/>
      <c r="L32" s="201"/>
    </row>
    <row r="33" spans="1:21" ht="18" customHeight="1" thickBot="1" x14ac:dyDescent="0.4">
      <c r="A33" s="307" t="s">
        <v>153</v>
      </c>
      <c r="B33" s="413">
        <f>D26*20%/B26</f>
        <v>0.24206830330745796</v>
      </c>
      <c r="C33" s="414">
        <f>D26*80%/C26</f>
        <v>4.6033385570754612</v>
      </c>
      <c r="D33" s="269"/>
      <c r="E33" s="269"/>
      <c r="F33" s="201"/>
      <c r="G33" s="201"/>
      <c r="I33" s="201"/>
      <c r="J33" s="201"/>
      <c r="K33" s="201"/>
      <c r="L33" s="201"/>
    </row>
    <row r="34" spans="1:21" s="269" customFormat="1" ht="13.15" thickBot="1" x14ac:dyDescent="0.4"/>
    <row r="35" spans="1:21" s="269" customFormat="1" ht="25.05" customHeight="1" x14ac:dyDescent="0.35">
      <c r="A35" s="620" t="s">
        <v>142</v>
      </c>
      <c r="B35" s="515" t="s">
        <v>178</v>
      </c>
      <c r="C35" s="515"/>
      <c r="D35" s="515"/>
      <c r="E35" s="515"/>
      <c r="F35" s="515"/>
      <c r="G35" s="515"/>
      <c r="H35" s="566" t="s">
        <v>179</v>
      </c>
      <c r="I35" s="566"/>
      <c r="J35" s="572"/>
      <c r="K35" s="572"/>
      <c r="L35" s="572"/>
      <c r="M35" s="567"/>
    </row>
    <row r="36" spans="1:21" s="269" customFormat="1" ht="25.05" customHeight="1" x14ac:dyDescent="0.35">
      <c r="A36" s="621"/>
      <c r="B36" s="517" t="s">
        <v>15</v>
      </c>
      <c r="C36" s="517" t="s">
        <v>16</v>
      </c>
      <c r="D36" s="517" t="s">
        <v>17</v>
      </c>
      <c r="E36" s="517" t="s">
        <v>18</v>
      </c>
      <c r="F36" s="517" t="s">
        <v>19</v>
      </c>
      <c r="G36" s="517" t="s">
        <v>20</v>
      </c>
      <c r="H36" s="517" t="s">
        <v>15</v>
      </c>
      <c r="I36" s="517" t="s">
        <v>16</v>
      </c>
      <c r="J36" s="517" t="s">
        <v>17</v>
      </c>
      <c r="K36" s="517" t="s">
        <v>18</v>
      </c>
      <c r="L36" s="517" t="s">
        <v>19</v>
      </c>
      <c r="M36" s="518" t="s">
        <v>20</v>
      </c>
    </row>
    <row r="37" spans="1:21" s="269" customFormat="1" ht="30" customHeight="1" x14ac:dyDescent="0.35">
      <c r="A37" s="304" t="s">
        <v>2</v>
      </c>
      <c r="B37" s="450">
        <f>$B$32*B19</f>
        <v>0.43706368557016989</v>
      </c>
      <c r="C37" s="450">
        <f t="shared" ref="C37:G37" si="8">$B$32*C19</f>
        <v>0.43706368557016989</v>
      </c>
      <c r="D37" s="450">
        <f t="shared" si="8"/>
        <v>0.13451986084245204</v>
      </c>
      <c r="E37" s="450">
        <f t="shared" si="8"/>
        <v>9.5551691742318368E-2</v>
      </c>
      <c r="F37" s="450">
        <f t="shared" si="8"/>
        <v>2.2455927935367177E-2</v>
      </c>
      <c r="G37" s="450">
        <f t="shared" si="8"/>
        <v>2.2455927935367177E-2</v>
      </c>
      <c r="H37" s="432">
        <f>$C$32*H19</f>
        <v>1.3051048610628927E-2</v>
      </c>
      <c r="I37" s="432">
        <f t="shared" ref="I37:M37" si="9">$C$32*I19</f>
        <v>1.048968615847483E-2</v>
      </c>
      <c r="J37" s="432">
        <f t="shared" si="9"/>
        <v>4.5800737032406788E-3</v>
      </c>
      <c r="K37" s="432">
        <f t="shared" si="9"/>
        <v>2.8843729070167764E-3</v>
      </c>
      <c r="L37" s="432">
        <f t="shared" si="9"/>
        <v>2.3865286642685504E-4</v>
      </c>
      <c r="M37" s="432">
        <f t="shared" si="9"/>
        <v>2.3865286642685504E-4</v>
      </c>
      <c r="O37" s="275"/>
      <c r="P37" s="274"/>
      <c r="Q37" s="274"/>
      <c r="R37" s="274"/>
      <c r="S37" s="274"/>
      <c r="T37" s="274"/>
      <c r="U37" s="270"/>
    </row>
    <row r="38" spans="1:21" s="269" customFormat="1" ht="30" customHeight="1" x14ac:dyDescent="0.35">
      <c r="A38" s="314" t="s">
        <v>146</v>
      </c>
      <c r="B38" s="451">
        <f>B20*$B$33</f>
        <v>2.1219205413833828</v>
      </c>
      <c r="C38" s="451">
        <f t="shared" ref="C38:G38" si="10">C20*$B$33</f>
        <v>2.0668623440314846</v>
      </c>
      <c r="D38" s="451">
        <f t="shared" si="10"/>
        <v>0.52992080173011258</v>
      </c>
      <c r="E38" s="451">
        <f t="shared" si="10"/>
        <v>0.47806990552919593</v>
      </c>
      <c r="F38" s="451">
        <f t="shared" si="10"/>
        <v>0.31584752953683282</v>
      </c>
      <c r="G38" s="451">
        <f t="shared" si="10"/>
        <v>0.31584752953683282</v>
      </c>
      <c r="H38" s="436">
        <f>$C$33*H20</f>
        <v>6.6108605863705081E-2</v>
      </c>
      <c r="I38" s="436">
        <f t="shared" ref="I38:M38" si="11">$C$33*I20</f>
        <v>5.331641108191755E-2</v>
      </c>
      <c r="J38" s="436">
        <f t="shared" si="11"/>
        <v>2.1132276029964998E-2</v>
      </c>
      <c r="K38" s="436">
        <f t="shared" si="11"/>
        <v>1.618947041763831E-2</v>
      </c>
      <c r="L38" s="436">
        <f t="shared" si="11"/>
        <v>1.4686546286999305E-3</v>
      </c>
      <c r="M38" s="436">
        <f t="shared" si="11"/>
        <v>1.4686546286999305E-3</v>
      </c>
      <c r="O38" s="275"/>
      <c r="P38" s="274"/>
      <c r="Q38" s="274"/>
      <c r="R38" s="274"/>
      <c r="S38" s="274"/>
      <c r="T38" s="274"/>
      <c r="U38" s="270"/>
    </row>
    <row r="39" spans="1:21" s="269" customFormat="1" ht="30" customHeight="1" thickBot="1" x14ac:dyDescent="0.4">
      <c r="A39" s="329" t="s">
        <v>150</v>
      </c>
      <c r="B39" s="452">
        <f>SUM(B37:B38)</f>
        <v>2.5589842269535525</v>
      </c>
      <c r="C39" s="452">
        <f>SUM(C37:C38)</f>
        <v>2.5039260296016543</v>
      </c>
      <c r="D39" s="452">
        <f t="shared" ref="D39" si="12">SUM(D37:D38)</f>
        <v>0.66444066257256462</v>
      </c>
      <c r="E39" s="452">
        <f t="shared" ref="E39" si="13">SUM(E37:E38)</f>
        <v>0.57362159727151429</v>
      </c>
      <c r="F39" s="452">
        <f t="shared" ref="F39" si="14">SUM(F37:F38)</f>
        <v>0.33830345747219998</v>
      </c>
      <c r="G39" s="452">
        <f t="shared" ref="G39" si="15">SUM(G37:G38)</f>
        <v>0.33830345747219998</v>
      </c>
      <c r="H39" s="434">
        <f>SUM(H37:H38)</f>
        <v>7.9159654474334012E-2</v>
      </c>
      <c r="I39" s="434">
        <f t="shared" ref="I39:M39" si="16">SUM(I37:I38)</f>
        <v>6.3806097240392379E-2</v>
      </c>
      <c r="J39" s="434">
        <f t="shared" si="16"/>
        <v>2.5712349733205676E-2</v>
      </c>
      <c r="K39" s="434">
        <f t="shared" si="16"/>
        <v>1.9073843324655088E-2</v>
      </c>
      <c r="L39" s="434">
        <f t="shared" si="16"/>
        <v>1.7073074951267854E-3</v>
      </c>
      <c r="M39" s="435">
        <f t="shared" si="16"/>
        <v>1.7073074951267854E-3</v>
      </c>
      <c r="O39" s="275"/>
      <c r="P39" s="275"/>
      <c r="Q39" s="274"/>
      <c r="R39" s="274"/>
      <c r="S39" s="274"/>
      <c r="T39" s="274"/>
      <c r="U39" s="270"/>
    </row>
    <row r="40" spans="1:21" s="269" customFormat="1" x14ac:dyDescent="0.35">
      <c r="B40" s="488"/>
    </row>
    <row r="41" spans="1:21" s="269" customFormat="1" x14ac:dyDescent="0.35"/>
    <row r="42" spans="1:21" s="335" customFormat="1" ht="15" x14ac:dyDescent="0.4">
      <c r="A42" s="348" t="s">
        <v>180</v>
      </c>
    </row>
    <row r="43" spans="1:21" ht="13.15" thickBot="1" x14ac:dyDescent="0.4"/>
    <row r="44" spans="1:21" ht="13.5" thickBot="1" x14ac:dyDescent="0.4">
      <c r="A44" s="393" t="s">
        <v>166</v>
      </c>
      <c r="B44" s="1"/>
      <c r="C44" s="1"/>
    </row>
    <row r="45" spans="1:21" ht="18" customHeight="1" x14ac:dyDescent="0.35">
      <c r="A45" s="394" t="s">
        <v>163</v>
      </c>
      <c r="B45" s="395"/>
      <c r="C45" s="396">
        <v>150</v>
      </c>
    </row>
    <row r="46" spans="1:21" ht="18" customHeight="1" x14ac:dyDescent="0.35">
      <c r="A46" s="397" t="s">
        <v>164</v>
      </c>
      <c r="B46" s="398"/>
      <c r="C46" s="399">
        <v>28.799969999999998</v>
      </c>
    </row>
    <row r="47" spans="1:21" ht="18" customHeight="1" x14ac:dyDescent="0.35">
      <c r="A47" s="397" t="s">
        <v>165</v>
      </c>
      <c r="B47" s="398"/>
      <c r="C47" s="399">
        <f>C45*C46/60</f>
        <v>71.999925000000005</v>
      </c>
    </row>
    <row r="48" spans="1:21" ht="18" customHeight="1" x14ac:dyDescent="0.35">
      <c r="A48" s="397" t="s">
        <v>167</v>
      </c>
      <c r="B48" s="398"/>
      <c r="C48" s="400">
        <v>0.1</v>
      </c>
    </row>
    <row r="49" spans="1:21" ht="18" customHeight="1" thickBot="1" x14ac:dyDescent="0.4">
      <c r="A49" s="401" t="s">
        <v>168</v>
      </c>
      <c r="B49" s="402"/>
      <c r="C49" s="403">
        <f>C45*8760*C48</f>
        <v>131400</v>
      </c>
    </row>
    <row r="50" spans="1:21" ht="13.15" thickBot="1" x14ac:dyDescent="0.4">
      <c r="A50" s="312"/>
      <c r="D50" s="313"/>
    </row>
    <row r="51" spans="1:21" s="269" customFormat="1" ht="25.05" customHeight="1" x14ac:dyDescent="0.35">
      <c r="A51" s="620" t="s">
        <v>142</v>
      </c>
      <c r="B51" s="515" t="s">
        <v>181</v>
      </c>
      <c r="C51" s="515"/>
      <c r="D51" s="515"/>
      <c r="E51" s="515"/>
      <c r="F51" s="515"/>
      <c r="G51" s="515"/>
      <c r="H51" s="566" t="s">
        <v>182</v>
      </c>
      <c r="I51" s="566"/>
      <c r="J51" s="572"/>
      <c r="K51" s="572"/>
      <c r="L51" s="572"/>
      <c r="M51" s="567"/>
    </row>
    <row r="52" spans="1:21" s="269" customFormat="1" ht="25.05" customHeight="1" x14ac:dyDescent="0.35">
      <c r="A52" s="621"/>
      <c r="B52" s="517" t="s">
        <v>15</v>
      </c>
      <c r="C52" s="517" t="s">
        <v>16</v>
      </c>
      <c r="D52" s="517" t="s">
        <v>17</v>
      </c>
      <c r="E52" s="517" t="s">
        <v>18</v>
      </c>
      <c r="F52" s="517" t="s">
        <v>19</v>
      </c>
      <c r="G52" s="517" t="s">
        <v>20</v>
      </c>
      <c r="H52" s="517" t="s">
        <v>15</v>
      </c>
      <c r="I52" s="517" t="s">
        <v>16</v>
      </c>
      <c r="J52" s="517" t="s">
        <v>17</v>
      </c>
      <c r="K52" s="517" t="s">
        <v>18</v>
      </c>
      <c r="L52" s="517" t="s">
        <v>19</v>
      </c>
      <c r="M52" s="518" t="s">
        <v>20</v>
      </c>
    </row>
    <row r="53" spans="1:21" s="269" customFormat="1" ht="30" customHeight="1" x14ac:dyDescent="0.35">
      <c r="A53" s="304" t="s">
        <v>2</v>
      </c>
      <c r="B53" s="308">
        <f>'Va. Peajes transporte'!B81</f>
        <v>5.1427651632864988</v>
      </c>
      <c r="C53" s="308">
        <f>'Va. Peajes transporte'!C81</f>
        <v>4.8915825948730003</v>
      </c>
      <c r="D53" s="308">
        <f>'Va. Peajes transporte'!D81</f>
        <v>2.551185578961745</v>
      </c>
      <c r="E53" s="308">
        <f>'Va. Peajes transporte'!E81</f>
        <v>1.770623160305123</v>
      </c>
      <c r="F53" s="308">
        <f>'Va. Peajes transporte'!F81</f>
        <v>0.12424240753696236</v>
      </c>
      <c r="G53" s="308">
        <f>'Va. Peajes transporte'!G81</f>
        <v>0.12424240753696236</v>
      </c>
      <c r="H53" s="482">
        <f>'Va. Peajes transporte'!I81</f>
        <v>4.7295338363311486E-3</v>
      </c>
      <c r="I53" s="482">
        <f>'Va. Peajes transporte'!J81</f>
        <v>3.7545707621158778E-3</v>
      </c>
      <c r="J53" s="482">
        <f>'Va. Peajes transporte'!K81</f>
        <v>1.6743865125065894E-3</v>
      </c>
      <c r="K53" s="482">
        <f>'Va. Peajes transporte'!L81</f>
        <v>1.066903477473365E-3</v>
      </c>
      <c r="L53" s="482">
        <f>'Va. Peajes transporte'!M81</f>
        <v>8.1940962774198817E-5</v>
      </c>
      <c r="M53" s="483">
        <f>'Va. Peajes transporte'!N81</f>
        <v>8.1940962774198817E-5</v>
      </c>
      <c r="O53" s="275"/>
      <c r="P53" s="274"/>
      <c r="Q53" s="274"/>
      <c r="R53" s="274"/>
      <c r="S53" s="274"/>
      <c r="T53" s="274"/>
      <c r="U53" s="270"/>
    </row>
    <row r="54" spans="1:21" s="269" customFormat="1" ht="30" customHeight="1" x14ac:dyDescent="0.35">
      <c r="A54" s="314" t="s">
        <v>146</v>
      </c>
      <c r="B54" s="315">
        <f>'Vb. Peajes distribución'!B81</f>
        <v>13.965893014175013</v>
      </c>
      <c r="C54" s="315">
        <f>'Vb. Peajes distribución'!C81</f>
        <v>13.019568270657446</v>
      </c>
      <c r="D54" s="315">
        <f>'Vb. Peajes distribución'!D81</f>
        <v>6.3740121072345159</v>
      </c>
      <c r="E54" s="315">
        <f>'Vb. Peajes distribución'!E81</f>
        <v>5.3876553111172543</v>
      </c>
      <c r="F54" s="315">
        <f>'Vb. Peajes distribución'!F81</f>
        <v>0.38195705501975247</v>
      </c>
      <c r="G54" s="315">
        <f>'Vb. Peajes distribución'!G81</f>
        <v>0.38195705501975247</v>
      </c>
      <c r="H54" s="484">
        <f>'Vb. Peajes distribución'!I81</f>
        <v>1.3306275652874136E-2</v>
      </c>
      <c r="I54" s="484">
        <f>'Vb. Peajes distribución'!J81</f>
        <v>1.0599440367385839E-2</v>
      </c>
      <c r="J54" s="484">
        <f>'Vb. Peajes distribución'!K81</f>
        <v>4.2910296003783729E-3</v>
      </c>
      <c r="K54" s="484">
        <f>'Vb. Peajes distribución'!L81</f>
        <v>3.3261474485216007E-3</v>
      </c>
      <c r="L54" s="484">
        <f>'Vb. Peajes distribución'!M81</f>
        <v>2.8038696139502802E-4</v>
      </c>
      <c r="M54" s="485">
        <f>'Vb. Peajes distribución'!N81</f>
        <v>2.8038696139502802E-4</v>
      </c>
      <c r="O54" s="275"/>
      <c r="P54" s="274"/>
      <c r="Q54" s="274"/>
      <c r="R54" s="274"/>
      <c r="S54" s="274"/>
      <c r="T54" s="274"/>
      <c r="U54" s="270"/>
    </row>
    <row r="55" spans="1:21" s="269" customFormat="1" ht="30" customHeight="1" thickBot="1" x14ac:dyDescent="0.4">
      <c r="A55" s="329" t="s">
        <v>150</v>
      </c>
      <c r="B55" s="330">
        <f>SUM(B53:B54)</f>
        <v>19.108658177461511</v>
      </c>
      <c r="C55" s="330">
        <f>SUM(C53:C54)</f>
        <v>17.911150865530445</v>
      </c>
      <c r="D55" s="330">
        <f t="shared" ref="D55" si="17">SUM(D53:D54)</f>
        <v>8.9251976861962614</v>
      </c>
      <c r="E55" s="330">
        <f t="shared" ref="E55" si="18">SUM(E53:E54)</f>
        <v>7.1582784714223777</v>
      </c>
      <c r="F55" s="330">
        <f t="shared" ref="F55" si="19">SUM(F53:F54)</f>
        <v>0.50619946255671477</v>
      </c>
      <c r="G55" s="330">
        <f t="shared" ref="G55" si="20">SUM(G53:G54)</f>
        <v>0.50619946255671477</v>
      </c>
      <c r="H55" s="434">
        <f>SUM(H53:H54)</f>
        <v>1.8035809489205284E-2</v>
      </c>
      <c r="I55" s="434">
        <f t="shared" ref="I55" si="21">SUM(I53:I54)</f>
        <v>1.4354011129501716E-2</v>
      </c>
      <c r="J55" s="434">
        <f t="shared" ref="J55" si="22">SUM(J53:J54)</f>
        <v>5.9654161128849621E-3</v>
      </c>
      <c r="K55" s="434">
        <f t="shared" ref="K55" si="23">SUM(K53:K54)</f>
        <v>4.3930509259949655E-3</v>
      </c>
      <c r="L55" s="434">
        <f t="shared" ref="L55" si="24">SUM(L53:L54)</f>
        <v>3.6232792416922684E-4</v>
      </c>
      <c r="M55" s="435">
        <f t="shared" ref="M55" si="25">SUM(M53:M54)</f>
        <v>3.6232792416922684E-4</v>
      </c>
      <c r="O55" s="275"/>
      <c r="P55" s="274"/>
      <c r="Q55" s="274"/>
      <c r="R55" s="274"/>
      <c r="S55" s="274"/>
      <c r="T55" s="274"/>
      <c r="U55" s="270"/>
    </row>
    <row r="56" spans="1:21" ht="13.15" thickBot="1" x14ac:dyDescent="0.4">
      <c r="A56" s="311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</row>
    <row r="57" spans="1:21" s="269" customFormat="1" ht="23.25" customHeight="1" x14ac:dyDescent="0.35">
      <c r="A57" s="620" t="s">
        <v>142</v>
      </c>
      <c r="B57" s="515" t="s">
        <v>183</v>
      </c>
      <c r="C57" s="515"/>
      <c r="D57" s="515"/>
      <c r="E57" s="616" t="s">
        <v>124</v>
      </c>
    </row>
    <row r="58" spans="1:21" s="269" customFormat="1" ht="38.25" x14ac:dyDescent="0.35">
      <c r="A58" s="621"/>
      <c r="B58" s="563" t="s">
        <v>173</v>
      </c>
      <c r="C58" s="563" t="s">
        <v>174</v>
      </c>
      <c r="D58" s="563" t="s">
        <v>175</v>
      </c>
      <c r="E58" s="617"/>
    </row>
    <row r="59" spans="1:21" ht="18" customHeight="1" x14ac:dyDescent="0.35">
      <c r="A59" s="306" t="s">
        <v>152</v>
      </c>
      <c r="B59" s="309">
        <f>$C$45*SUM(B53:G53)</f>
        <v>2190.6961968750438</v>
      </c>
      <c r="C59" s="309">
        <f>$C$49*AVERAGE(H53:M53)</f>
        <v>249.42515565606078</v>
      </c>
      <c r="D59" s="309">
        <f>SUM(B59:C59)</f>
        <v>2440.1213525311045</v>
      </c>
      <c r="E59" s="406">
        <f t="shared" ref="E59" si="26">B59/D59</f>
        <v>0.89778165934356691</v>
      </c>
      <c r="F59" s="201"/>
      <c r="G59" s="201"/>
      <c r="I59" s="201"/>
      <c r="J59" s="201"/>
      <c r="K59" s="201"/>
      <c r="L59" s="201"/>
    </row>
    <row r="60" spans="1:21" ht="18" customHeight="1" x14ac:dyDescent="0.35">
      <c r="A60" s="316" t="s">
        <v>153</v>
      </c>
      <c r="B60" s="407">
        <f>$C$45*SUM(B54:G54)</f>
        <v>5926.6564219835609</v>
      </c>
      <c r="C60" s="407">
        <f>$C$49*AVERAGE(H54:M54)</f>
        <v>702.63230712370512</v>
      </c>
      <c r="D60" s="407">
        <f>SUM(B60:C60)</f>
        <v>6629.2887291072657</v>
      </c>
      <c r="E60" s="408">
        <f>B60/D60</f>
        <v>0.89401090587008947</v>
      </c>
      <c r="F60" s="201"/>
      <c r="G60" s="201"/>
      <c r="I60" s="201"/>
      <c r="J60" s="201"/>
      <c r="K60" s="201"/>
      <c r="L60" s="201"/>
    </row>
    <row r="61" spans="1:21" ht="18" customHeight="1" thickBot="1" x14ac:dyDescent="0.4">
      <c r="A61" s="339" t="s">
        <v>4</v>
      </c>
      <c r="B61" s="409">
        <f>SUM(B59:B60)</f>
        <v>8117.3526188586047</v>
      </c>
      <c r="C61" s="409">
        <f t="shared" ref="C61" si="27">SUM(C59:C60)</f>
        <v>952.05746277976596</v>
      </c>
      <c r="D61" s="409">
        <f t="shared" ref="D61" si="28">SUM(D59:D60)</f>
        <v>9069.4100816383707</v>
      </c>
      <c r="E61" s="410">
        <f>B61/D61</f>
        <v>0.89502542566607834</v>
      </c>
      <c r="F61" s="201"/>
      <c r="G61" s="201"/>
    </row>
    <row r="62" spans="1:21" s="269" customFormat="1" x14ac:dyDescent="0.35"/>
    <row r="63" spans="1:21" s="269" customFormat="1" ht="13.15" thickBot="1" x14ac:dyDescent="0.4"/>
    <row r="64" spans="1:21" s="269" customFormat="1" ht="36.75" customHeight="1" x14ac:dyDescent="0.35">
      <c r="A64" s="620" t="s">
        <v>142</v>
      </c>
      <c r="B64" s="515" t="s">
        <v>214</v>
      </c>
      <c r="C64" s="516"/>
    </row>
    <row r="65" spans="1:21" s="269" customFormat="1" ht="51" x14ac:dyDescent="0.35">
      <c r="A65" s="621"/>
      <c r="B65" s="563" t="s">
        <v>176</v>
      </c>
      <c r="C65" s="564" t="s">
        <v>177</v>
      </c>
    </row>
    <row r="66" spans="1:21" ht="18" customHeight="1" x14ac:dyDescent="0.35">
      <c r="A66" s="306" t="s">
        <v>152</v>
      </c>
      <c r="B66" s="411">
        <f>D59*20%/B59</f>
        <v>0.22277131407009859</v>
      </c>
      <c r="C66" s="412">
        <f>D59*80%/C59</f>
        <v>7.8263841387220952</v>
      </c>
      <c r="D66" s="269"/>
      <c r="E66" s="269"/>
      <c r="F66" s="201"/>
      <c r="G66" s="201"/>
      <c r="I66" s="201"/>
      <c r="J66" s="201"/>
      <c r="K66" s="201"/>
      <c r="L66" s="201"/>
    </row>
    <row r="67" spans="1:21" ht="18" customHeight="1" thickBot="1" x14ac:dyDescent="0.4">
      <c r="A67" s="307" t="s">
        <v>153</v>
      </c>
      <c r="B67" s="413">
        <f>D60*20%/B60</f>
        <v>0.22371091749194211</v>
      </c>
      <c r="C67" s="414">
        <f>D60*80%/C60</f>
        <v>7.5479463860634759</v>
      </c>
      <c r="D67" s="269"/>
      <c r="E67" s="269"/>
      <c r="F67" s="201"/>
      <c r="G67" s="201"/>
      <c r="I67" s="201"/>
      <c r="J67" s="201"/>
      <c r="K67" s="201"/>
      <c r="L67" s="201"/>
    </row>
    <row r="68" spans="1:21" s="269" customFormat="1" ht="13.15" thickBot="1" x14ac:dyDescent="0.4"/>
    <row r="69" spans="1:21" s="269" customFormat="1" ht="25.05" customHeight="1" x14ac:dyDescent="0.35">
      <c r="A69" s="620" t="s">
        <v>142</v>
      </c>
      <c r="B69" s="515" t="s">
        <v>215</v>
      </c>
      <c r="C69" s="515"/>
      <c r="D69" s="515"/>
      <c r="E69" s="515"/>
      <c r="F69" s="515"/>
      <c r="G69" s="515"/>
      <c r="H69" s="566" t="s">
        <v>216</v>
      </c>
      <c r="I69" s="566"/>
      <c r="J69" s="572"/>
      <c r="K69" s="572"/>
      <c r="L69" s="572"/>
      <c r="M69" s="567"/>
    </row>
    <row r="70" spans="1:21" s="269" customFormat="1" ht="25.05" customHeight="1" x14ac:dyDescent="0.35">
      <c r="A70" s="621"/>
      <c r="B70" s="517" t="s">
        <v>15</v>
      </c>
      <c r="C70" s="517" t="s">
        <v>16</v>
      </c>
      <c r="D70" s="517" t="s">
        <v>17</v>
      </c>
      <c r="E70" s="517" t="s">
        <v>18</v>
      </c>
      <c r="F70" s="517" t="s">
        <v>19</v>
      </c>
      <c r="G70" s="517" t="s">
        <v>20</v>
      </c>
      <c r="H70" s="517" t="s">
        <v>15</v>
      </c>
      <c r="I70" s="517" t="s">
        <v>16</v>
      </c>
      <c r="J70" s="517" t="s">
        <v>17</v>
      </c>
      <c r="K70" s="517" t="s">
        <v>18</v>
      </c>
      <c r="L70" s="517" t="s">
        <v>19</v>
      </c>
      <c r="M70" s="518" t="s">
        <v>20</v>
      </c>
    </row>
    <row r="71" spans="1:21" s="269" customFormat="1" ht="30" customHeight="1" x14ac:dyDescent="0.35">
      <c r="A71" s="304" t="s">
        <v>2</v>
      </c>
      <c r="B71" s="450">
        <f>$B$66*B53</f>
        <v>1.1456605533792585</v>
      </c>
      <c r="C71" s="450">
        <f t="shared" ref="C71:G71" si="29">$B$66*C53</f>
        <v>1.0897042825422809</v>
      </c>
      <c r="D71" s="450">
        <f t="shared" si="29"/>
        <v>0.56833096386199322</v>
      </c>
      <c r="E71" s="450">
        <f t="shared" si="29"/>
        <v>0.39444404814412309</v>
      </c>
      <c r="F71" s="450">
        <f t="shared" si="29"/>
        <v>2.7677644390241826E-2</v>
      </c>
      <c r="G71" s="450">
        <f t="shared" si="29"/>
        <v>2.7677644390241826E-2</v>
      </c>
      <c r="H71" s="432">
        <f>$C$66*H53</f>
        <v>3.7015148600211566E-2</v>
      </c>
      <c r="I71" s="432">
        <f t="shared" ref="I71:M71" si="30">$C$66*I53</f>
        <v>2.9384713060333436E-2</v>
      </c>
      <c r="J71" s="432">
        <f t="shared" si="30"/>
        <v>1.3104392043571776E-2</v>
      </c>
      <c r="K71" s="432">
        <f t="shared" si="30"/>
        <v>8.3499964536449898E-3</v>
      </c>
      <c r="L71" s="432">
        <f t="shared" si="30"/>
        <v>6.4130145136760729E-4</v>
      </c>
      <c r="M71" s="432">
        <f t="shared" si="30"/>
        <v>6.4130145136760729E-4</v>
      </c>
      <c r="O71" s="275"/>
      <c r="P71" s="274"/>
      <c r="Q71" s="274"/>
      <c r="R71" s="274"/>
      <c r="S71" s="274"/>
      <c r="T71" s="274"/>
      <c r="U71" s="270"/>
    </row>
    <row r="72" spans="1:21" s="269" customFormat="1" ht="30" customHeight="1" x14ac:dyDescent="0.35">
      <c r="A72" s="314" t="s">
        <v>146</v>
      </c>
      <c r="B72" s="451">
        <f>B54*$B$67</f>
        <v>3.1243227397953968</v>
      </c>
      <c r="C72" s="451">
        <f t="shared" ref="C72:G72" si="31">C54*$B$67</f>
        <v>2.9126195631777554</v>
      </c>
      <c r="D72" s="451">
        <f t="shared" si="31"/>
        <v>1.4259360966141807</v>
      </c>
      <c r="E72" s="451">
        <f t="shared" si="31"/>
        <v>1.2052773127803758</v>
      </c>
      <c r="F72" s="451">
        <f t="shared" si="31"/>
        <v>8.5447963220989034E-2</v>
      </c>
      <c r="G72" s="451">
        <f t="shared" si="31"/>
        <v>8.5447963220989034E-2</v>
      </c>
      <c r="H72" s="436">
        <f>$C$67*H54</f>
        <v>0.10043505522607575</v>
      </c>
      <c r="I72" s="436">
        <f t="shared" ref="I72:M72" si="32">$C$67*I54</f>
        <v>8.0004007615305267E-2</v>
      </c>
      <c r="J72" s="436">
        <f t="shared" si="32"/>
        <v>3.2388461364667338E-2</v>
      </c>
      <c r="K72" s="436">
        <f t="shared" si="32"/>
        <v>2.5105582613582866E-2</v>
      </c>
      <c r="L72" s="436">
        <f t="shared" si="32"/>
        <v>2.116345751960921E-3</v>
      </c>
      <c r="M72" s="436">
        <f t="shared" si="32"/>
        <v>2.116345751960921E-3</v>
      </c>
      <c r="O72" s="275"/>
      <c r="P72" s="274"/>
      <c r="Q72" s="274"/>
      <c r="R72" s="274"/>
      <c r="S72" s="274"/>
      <c r="T72" s="274"/>
      <c r="U72" s="270"/>
    </row>
    <row r="73" spans="1:21" s="269" customFormat="1" ht="30" customHeight="1" thickBot="1" x14ac:dyDescent="0.4">
      <c r="A73" s="329" t="s">
        <v>150</v>
      </c>
      <c r="B73" s="452">
        <f>SUM(B71:B72)</f>
        <v>4.2699832931746551</v>
      </c>
      <c r="C73" s="452">
        <f>SUM(C71:C72)</f>
        <v>4.0023238457200367</v>
      </c>
      <c r="D73" s="452">
        <f t="shared" ref="D73" si="33">SUM(D71:D72)</f>
        <v>1.9942670604761741</v>
      </c>
      <c r="E73" s="452">
        <f t="shared" ref="E73" si="34">SUM(E71:E72)</f>
        <v>1.5997213609244989</v>
      </c>
      <c r="F73" s="452">
        <f t="shared" ref="F73" si="35">SUM(F71:F72)</f>
        <v>0.11312560761123086</v>
      </c>
      <c r="G73" s="452">
        <f t="shared" ref="G73" si="36">SUM(G71:G72)</f>
        <v>0.11312560761123086</v>
      </c>
      <c r="H73" s="434">
        <f>SUM(H71:H72)</f>
        <v>0.13745020382628731</v>
      </c>
      <c r="I73" s="434">
        <f t="shared" ref="I73" si="37">SUM(I71:I72)</f>
        <v>0.10938872067563871</v>
      </c>
      <c r="J73" s="434">
        <f t="shared" ref="J73" si="38">SUM(J71:J72)</f>
        <v>4.5492853408239116E-2</v>
      </c>
      <c r="K73" s="434">
        <f t="shared" ref="K73" si="39">SUM(K71:K72)</f>
        <v>3.3455579067227854E-2</v>
      </c>
      <c r="L73" s="434">
        <f t="shared" ref="L73" si="40">SUM(L71:L72)</f>
        <v>2.7576472033285283E-3</v>
      </c>
      <c r="M73" s="435">
        <f t="shared" ref="M73" si="41">SUM(M71:M72)</f>
        <v>2.7576472033285283E-3</v>
      </c>
      <c r="O73" s="275"/>
      <c r="P73" s="275"/>
      <c r="Q73" s="274"/>
      <c r="R73" s="274"/>
      <c r="S73" s="274"/>
      <c r="T73" s="274"/>
      <c r="U73" s="270"/>
    </row>
    <row r="75" spans="1:21" x14ac:dyDescent="0.35">
      <c r="B75" s="328"/>
      <c r="C75" s="328"/>
      <c r="D75" s="328"/>
      <c r="E75" s="328"/>
      <c r="F75" s="328"/>
      <c r="G75" s="328"/>
      <c r="H75" s="328"/>
      <c r="I75" s="328"/>
      <c r="J75" s="328"/>
      <c r="K75" s="328"/>
      <c r="L75" s="328"/>
      <c r="M75" s="328"/>
    </row>
  </sheetData>
  <mergeCells count="10">
    <mergeCell ref="E57:E58"/>
    <mergeCell ref="A23:A24"/>
    <mergeCell ref="E23:E24"/>
    <mergeCell ref="A30:A31"/>
    <mergeCell ref="A35:A36"/>
    <mergeCell ref="A64:A65"/>
    <mergeCell ref="A69:A70"/>
    <mergeCell ref="A17:A18"/>
    <mergeCell ref="A51:A52"/>
    <mergeCell ref="A57:A5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L72"/>
  <sheetViews>
    <sheetView showGridLines="0" workbookViewId="0">
      <selection activeCell="M15" sqref="M15"/>
    </sheetView>
  </sheetViews>
  <sheetFormatPr baseColWidth="10" defaultRowHeight="12.75" x14ac:dyDescent="0.35"/>
  <cols>
    <col min="1" max="1" width="21.46484375" customWidth="1"/>
    <col min="11" max="11" width="2.46484375" customWidth="1"/>
  </cols>
  <sheetData>
    <row r="1" spans="1:12" s="1" customFormat="1" x14ac:dyDescent="0.35"/>
    <row r="2" spans="1:12" s="1" customFormat="1" x14ac:dyDescent="0.35"/>
    <row r="3" spans="1:12" s="1" customFormat="1" x14ac:dyDescent="0.35"/>
    <row r="4" spans="1:12" s="1" customFormat="1" x14ac:dyDescent="0.35"/>
    <row r="5" spans="1:12" s="1" customFormat="1" x14ac:dyDescent="0.35"/>
    <row r="6" spans="1:12" s="4" customFormat="1" ht="30" customHeight="1" x14ac:dyDescent="0.35">
      <c r="A6" s="490" t="s">
        <v>227</v>
      </c>
      <c r="B6" s="324"/>
    </row>
    <row r="7" spans="1:12" ht="5.2" customHeight="1" x14ac:dyDescent="0.35"/>
    <row r="8" spans="1:12" s="335" customFormat="1" ht="15" x14ac:dyDescent="0.4">
      <c r="A8" s="340" t="s">
        <v>76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2" ht="13.15" thickBot="1" x14ac:dyDescent="0.4"/>
    <row r="10" spans="1:12" ht="27.75" customHeight="1" thickBot="1" x14ac:dyDescent="0.4">
      <c r="A10" s="1"/>
      <c r="B10" s="1"/>
      <c r="C10" s="545" t="s">
        <v>41</v>
      </c>
      <c r="D10" s="546"/>
      <c r="E10" s="546"/>
      <c r="F10" s="547"/>
      <c r="G10" s="1"/>
      <c r="H10" s="1"/>
      <c r="I10" s="1"/>
      <c r="J10" s="1"/>
    </row>
    <row r="11" spans="1:12" ht="26.65" thickBot="1" x14ac:dyDescent="0.4">
      <c r="A11" s="541" t="s">
        <v>51</v>
      </c>
      <c r="B11" s="542" t="s">
        <v>107</v>
      </c>
      <c r="C11" s="543" t="s">
        <v>70</v>
      </c>
      <c r="D11" s="543" t="s">
        <v>42</v>
      </c>
      <c r="E11" s="543" t="s">
        <v>43</v>
      </c>
      <c r="F11" s="543" t="s">
        <v>44</v>
      </c>
      <c r="G11" s="542" t="s">
        <v>45</v>
      </c>
      <c r="H11" s="542" t="s">
        <v>46</v>
      </c>
      <c r="I11" s="542" t="s">
        <v>9</v>
      </c>
      <c r="J11" s="544" t="s">
        <v>47</v>
      </c>
    </row>
    <row r="12" spans="1:12" x14ac:dyDescent="0.35">
      <c r="A12" s="378" t="s">
        <v>40</v>
      </c>
      <c r="B12" s="379">
        <v>29640.322722520199</v>
      </c>
      <c r="C12" s="379">
        <v>12907.946787844921</v>
      </c>
      <c r="D12" s="379">
        <v>7170.8535200642573</v>
      </c>
      <c r="E12" s="379">
        <v>7073.9074146110152</v>
      </c>
      <c r="F12" s="379">
        <v>0</v>
      </c>
      <c r="G12" s="379">
        <v>2103.5239999999994</v>
      </c>
      <c r="H12" s="380">
        <f>G12/$G$17</f>
        <v>5.6270381377827909E-2</v>
      </c>
      <c r="I12" s="379">
        <v>384.09100000000007</v>
      </c>
      <c r="J12" s="381">
        <f>SUM(B12:B12)/SUM(C12:G12)-1</f>
        <v>1.3128519203802647E-2</v>
      </c>
      <c r="L12" s="35"/>
    </row>
    <row r="13" spans="1:12" x14ac:dyDescent="0.35">
      <c r="A13" s="382" t="s">
        <v>39</v>
      </c>
      <c r="B13" s="383">
        <v>5261.8289999999997</v>
      </c>
      <c r="C13" s="383">
        <v>0</v>
      </c>
      <c r="D13" s="383">
        <v>5577.5025582367298</v>
      </c>
      <c r="E13" s="383">
        <v>11241.955632079442</v>
      </c>
      <c r="F13" s="383">
        <v>0</v>
      </c>
      <c r="G13" s="383">
        <v>1074.6640000000002</v>
      </c>
      <c r="H13" s="384">
        <f>G13/$G$17</f>
        <v>2.8747831321640296E-2</v>
      </c>
      <c r="I13" s="383">
        <v>275.6535975287515</v>
      </c>
      <c r="J13" s="385">
        <f>SUM(B13:B13,C17)/SUM(C13:G13)-1</f>
        <v>1.54047007501672E-2</v>
      </c>
      <c r="L13" s="35"/>
    </row>
    <row r="14" spans="1:12" x14ac:dyDescent="0.35">
      <c r="A14" s="382" t="s">
        <v>38</v>
      </c>
      <c r="B14" s="383">
        <v>5723.099617798287</v>
      </c>
      <c r="C14" s="383">
        <v>0</v>
      </c>
      <c r="D14" s="383">
        <v>0</v>
      </c>
      <c r="E14" s="383">
        <v>15354.90036384367</v>
      </c>
      <c r="F14" s="383">
        <v>4.7528100585746778</v>
      </c>
      <c r="G14" s="383">
        <v>2808.9490070695551</v>
      </c>
      <c r="H14" s="384">
        <f>G14/$G$17</f>
        <v>7.514087402790505E-2</v>
      </c>
      <c r="I14" s="383">
        <v>302.85351512747218</v>
      </c>
      <c r="J14" s="385">
        <f>SUM(B14:B14,D17)/SUM(C14:G14)-1</f>
        <v>1.666905973893007E-2</v>
      </c>
      <c r="L14" s="35"/>
    </row>
    <row r="15" spans="1:12" x14ac:dyDescent="0.35">
      <c r="A15" s="382" t="s">
        <v>37</v>
      </c>
      <c r="B15" s="383">
        <v>1317.9269990000003</v>
      </c>
      <c r="C15" s="383">
        <v>0</v>
      </c>
      <c r="D15" s="383">
        <v>0</v>
      </c>
      <c r="E15" s="383">
        <v>0</v>
      </c>
      <c r="F15" s="383">
        <v>24353.169324647431</v>
      </c>
      <c r="G15" s="383">
        <v>9500.6015730459458</v>
      </c>
      <c r="H15" s="384">
        <f>G15/$G$17</f>
        <v>0.25414612518520696</v>
      </c>
      <c r="I15" s="383">
        <v>1134.9195118407461</v>
      </c>
      <c r="J15" s="385">
        <f>SUM(B15:B15,E17)/SUM(C15:G15)-1</f>
        <v>3.352416826091531E-2</v>
      </c>
      <c r="L15" s="35"/>
    </row>
    <row r="16" spans="1:12" ht="13.15" thickBot="1" x14ac:dyDescent="0.4">
      <c r="A16" s="386" t="s">
        <v>50</v>
      </c>
      <c r="B16" s="387">
        <v>330.678</v>
      </c>
      <c r="C16" s="387">
        <v>0</v>
      </c>
      <c r="D16" s="387">
        <v>0</v>
      </c>
      <c r="E16" s="387">
        <v>0</v>
      </c>
      <c r="F16" s="387">
        <v>0</v>
      </c>
      <c r="G16" s="387">
        <v>21894.698654064083</v>
      </c>
      <c r="H16" s="388">
        <f>G16/$G$17</f>
        <v>0.58569478808741982</v>
      </c>
      <c r="I16" s="387">
        <v>2793.9014806419345</v>
      </c>
      <c r="J16" s="389">
        <f>SUM(B16:B16,F17)/SUM(C16:G16)-1</f>
        <v>0.12760629980734262</v>
      </c>
      <c r="L16" s="35"/>
    </row>
    <row r="17" spans="1:12" ht="13.5" thickBot="1" x14ac:dyDescent="0.4">
      <c r="A17" s="342" t="s">
        <v>4</v>
      </c>
      <c r="B17" s="390">
        <f t="shared" ref="B17:I17" si="0">SUM(B12:B16)</f>
        <v>42273.856339318489</v>
      </c>
      <c r="C17" s="390">
        <f t="shared" si="0"/>
        <v>12907.946787844921</v>
      </c>
      <c r="D17" s="390">
        <f t="shared" si="0"/>
        <v>12748.356078300987</v>
      </c>
      <c r="E17" s="390">
        <f t="shared" si="0"/>
        <v>33670.763410534128</v>
      </c>
      <c r="F17" s="390">
        <f t="shared" si="0"/>
        <v>24357.922134706005</v>
      </c>
      <c r="G17" s="390">
        <f t="shared" si="0"/>
        <v>37382.437234179582</v>
      </c>
      <c r="H17" s="391">
        <f>SUM(H12:H16)</f>
        <v>1</v>
      </c>
      <c r="I17" s="390">
        <f t="shared" si="0"/>
        <v>4891.4191051389043</v>
      </c>
      <c r="J17" s="392"/>
    </row>
    <row r="19" spans="1:12" s="335" customFormat="1" ht="15" x14ac:dyDescent="0.4">
      <c r="A19" s="340" t="s">
        <v>77</v>
      </c>
      <c r="B19" s="341"/>
      <c r="C19" s="341"/>
      <c r="D19" s="341"/>
      <c r="E19" s="341"/>
      <c r="F19" s="341"/>
      <c r="G19" s="341"/>
      <c r="H19" s="341"/>
      <c r="I19" s="341"/>
      <c r="J19" s="341"/>
    </row>
    <row r="20" spans="1:12" ht="13.15" thickBot="1" x14ac:dyDescent="0.4"/>
    <row r="21" spans="1:12" ht="27.75" customHeight="1" thickBot="1" x14ac:dyDescent="0.4">
      <c r="A21" s="1"/>
      <c r="B21" s="1"/>
      <c r="C21" s="545" t="s">
        <v>41</v>
      </c>
      <c r="D21" s="546"/>
      <c r="E21" s="546"/>
      <c r="F21" s="547"/>
      <c r="G21" s="1"/>
      <c r="H21" s="1"/>
      <c r="I21" s="1"/>
      <c r="J21" s="1"/>
    </row>
    <row r="22" spans="1:12" ht="26.65" thickBot="1" x14ac:dyDescent="0.4">
      <c r="A22" s="541" t="s">
        <v>51</v>
      </c>
      <c r="B22" s="542" t="s">
        <v>107</v>
      </c>
      <c r="C22" s="543" t="s">
        <v>70</v>
      </c>
      <c r="D22" s="543" t="s">
        <v>42</v>
      </c>
      <c r="E22" s="543" t="s">
        <v>43</v>
      </c>
      <c r="F22" s="543" t="s">
        <v>44</v>
      </c>
      <c r="G22" s="542" t="s">
        <v>45</v>
      </c>
      <c r="H22" s="542" t="s">
        <v>46</v>
      </c>
      <c r="I22" s="542" t="s">
        <v>9</v>
      </c>
      <c r="J22" s="544" t="s">
        <v>47</v>
      </c>
    </row>
    <row r="23" spans="1:12" x14ac:dyDescent="0.35">
      <c r="A23" s="378" t="s">
        <v>40</v>
      </c>
      <c r="B23" s="379">
        <v>30628.281722520205</v>
      </c>
      <c r="C23" s="379">
        <v>13630.801522034555</v>
      </c>
      <c r="D23" s="379">
        <v>7581.2423181913528</v>
      </c>
      <c r="E23" s="379">
        <v>7081.1748822943136</v>
      </c>
      <c r="F23" s="379">
        <v>0</v>
      </c>
      <c r="G23" s="379">
        <v>2030.2760000000001</v>
      </c>
      <c r="H23" s="380">
        <f>G23/$G$28</f>
        <v>5.5637724017221078E-2</v>
      </c>
      <c r="I23" s="379">
        <v>304.78700000000009</v>
      </c>
      <c r="J23" s="381">
        <f>SUM(B23:B23)/SUM(C23:G23)-1</f>
        <v>1.0051183176245981E-2</v>
      </c>
      <c r="L23" s="35"/>
    </row>
    <row r="24" spans="1:12" x14ac:dyDescent="0.35">
      <c r="A24" s="382" t="s">
        <v>39</v>
      </c>
      <c r="B24" s="383">
        <v>4092.3860000000004</v>
      </c>
      <c r="C24" s="383">
        <v>0</v>
      </c>
      <c r="D24" s="383">
        <v>5398.2982405344374</v>
      </c>
      <c r="E24" s="383">
        <v>11021.783214978557</v>
      </c>
      <c r="F24" s="383">
        <v>0</v>
      </c>
      <c r="G24" s="383">
        <v>1026.5370000000003</v>
      </c>
      <c r="H24" s="384">
        <f>G24/$G$28</f>
        <v>2.8131240432072335E-2</v>
      </c>
      <c r="I24" s="383">
        <v>276.56906652155908</v>
      </c>
      <c r="J24" s="385">
        <f>SUM(B24:B24,C28)/SUM(C24:G24)-1</f>
        <v>1.5852302108100735E-2</v>
      </c>
      <c r="L24" s="35"/>
    </row>
    <row r="25" spans="1:12" x14ac:dyDescent="0.35">
      <c r="A25" s="382" t="s">
        <v>38</v>
      </c>
      <c r="B25" s="383">
        <v>5065.9916177982877</v>
      </c>
      <c r="C25" s="383">
        <v>0</v>
      </c>
      <c r="D25" s="383">
        <v>0</v>
      </c>
      <c r="E25" s="383">
        <v>14995.755224402268</v>
      </c>
      <c r="F25" s="383">
        <v>4.5948914696901602</v>
      </c>
      <c r="G25" s="383">
        <v>2756.9523529456474</v>
      </c>
      <c r="H25" s="384">
        <f>G25/$G$28</f>
        <v>7.5551577293835034E-2</v>
      </c>
      <c r="I25" s="383">
        <v>288.22970770647225</v>
      </c>
      <c r="J25" s="385">
        <f>SUM(B25:B25,D28)/SUM(C25:G25)-1</f>
        <v>1.6231615596603577E-2</v>
      </c>
      <c r="L25" s="35"/>
    </row>
    <row r="26" spans="1:12" x14ac:dyDescent="0.35">
      <c r="A26" s="382" t="s">
        <v>37</v>
      </c>
      <c r="B26" s="383">
        <v>1100.984997</v>
      </c>
      <c r="C26" s="383">
        <v>0</v>
      </c>
      <c r="D26" s="383">
        <v>0</v>
      </c>
      <c r="E26" s="383">
        <v>0</v>
      </c>
      <c r="F26" s="383">
        <v>23972.354201564227</v>
      </c>
      <c r="G26" s="383">
        <v>9111.2553492560401</v>
      </c>
      <c r="H26" s="384">
        <f>G26/$G$28</f>
        <v>0.24968502340191029</v>
      </c>
      <c r="I26" s="383">
        <v>1116.0887678548711</v>
      </c>
      <c r="J26" s="385">
        <f>SUM(B26:B26,E28)/SUM(C26:G26)-1</f>
        <v>3.3735398978772979E-2</v>
      </c>
      <c r="L26" s="35"/>
    </row>
    <row r="27" spans="1:12" ht="13.15" thickBot="1" x14ac:dyDescent="0.4">
      <c r="A27" s="386" t="s">
        <v>50</v>
      </c>
      <c r="B27" s="387">
        <v>384.59700000000004</v>
      </c>
      <c r="C27" s="387">
        <v>0</v>
      </c>
      <c r="D27" s="387">
        <v>0</v>
      </c>
      <c r="E27" s="387">
        <v>0</v>
      </c>
      <c r="F27" s="387">
        <v>0</v>
      </c>
      <c r="G27" s="387">
        <v>21565.975934748909</v>
      </c>
      <c r="H27" s="388">
        <f>G27/$G$28</f>
        <v>0.59099443485496117</v>
      </c>
      <c r="I27" s="387">
        <v>2795.5701582849883</v>
      </c>
      <c r="J27" s="389">
        <f>SUM(B27:B27,F28)/SUM(C27:G27)-1</f>
        <v>0.12962873401803954</v>
      </c>
      <c r="L27" s="35"/>
    </row>
    <row r="28" spans="1:12" ht="13.5" thickBot="1" x14ac:dyDescent="0.4">
      <c r="A28" s="342" t="s">
        <v>4</v>
      </c>
      <c r="B28" s="390">
        <f t="shared" ref="B28:I28" si="1">SUM(B23:B27)</f>
        <v>41272.241337318497</v>
      </c>
      <c r="C28" s="390">
        <f t="shared" si="1"/>
        <v>13630.801522034555</v>
      </c>
      <c r="D28" s="390">
        <f t="shared" si="1"/>
        <v>12979.54055872579</v>
      </c>
      <c r="E28" s="390">
        <f t="shared" si="1"/>
        <v>33098.713321675139</v>
      </c>
      <c r="F28" s="390">
        <f t="shared" si="1"/>
        <v>23976.949093033916</v>
      </c>
      <c r="G28" s="390">
        <f t="shared" si="1"/>
        <v>36490.9966369506</v>
      </c>
      <c r="H28" s="391">
        <f t="shared" si="1"/>
        <v>0.99999999999999989</v>
      </c>
      <c r="I28" s="390">
        <f t="shared" si="1"/>
        <v>4781.2447003678908</v>
      </c>
      <c r="J28" s="392"/>
    </row>
    <row r="30" spans="1:12" s="335" customFormat="1" ht="15" x14ac:dyDescent="0.4">
      <c r="A30" s="340" t="s">
        <v>78</v>
      </c>
      <c r="B30" s="341"/>
      <c r="C30" s="341"/>
      <c r="D30" s="341"/>
      <c r="E30" s="341"/>
      <c r="F30" s="341"/>
      <c r="G30" s="341"/>
      <c r="H30" s="341"/>
      <c r="I30" s="341"/>
      <c r="J30" s="341"/>
    </row>
    <row r="31" spans="1:12" ht="13.15" thickBot="1" x14ac:dyDescent="0.4"/>
    <row r="32" spans="1:12" ht="27.75" customHeight="1" thickBot="1" x14ac:dyDescent="0.4">
      <c r="A32" s="1"/>
      <c r="B32" s="1"/>
      <c r="C32" s="545" t="s">
        <v>41</v>
      </c>
      <c r="D32" s="546"/>
      <c r="E32" s="546"/>
      <c r="F32" s="547"/>
      <c r="G32" s="1"/>
      <c r="H32" s="1"/>
      <c r="I32" s="1"/>
      <c r="J32" s="1"/>
    </row>
    <row r="33" spans="1:12" ht="26.65" thickBot="1" x14ac:dyDescent="0.4">
      <c r="A33" s="541" t="s">
        <v>51</v>
      </c>
      <c r="B33" s="542" t="s">
        <v>107</v>
      </c>
      <c r="C33" s="543" t="s">
        <v>70</v>
      </c>
      <c r="D33" s="543" t="s">
        <v>42</v>
      </c>
      <c r="E33" s="543" t="s">
        <v>43</v>
      </c>
      <c r="F33" s="543" t="s">
        <v>44</v>
      </c>
      <c r="G33" s="542" t="s">
        <v>45</v>
      </c>
      <c r="H33" s="542" t="s">
        <v>46</v>
      </c>
      <c r="I33" s="542" t="s">
        <v>9</v>
      </c>
      <c r="J33" s="544" t="s">
        <v>47</v>
      </c>
    </row>
    <row r="34" spans="1:12" x14ac:dyDescent="0.35">
      <c r="A34" s="378" t="s">
        <v>40</v>
      </c>
      <c r="B34" s="379">
        <v>22427.974722520201</v>
      </c>
      <c r="C34" s="379">
        <v>9461.2234809886377</v>
      </c>
      <c r="D34" s="379">
        <v>5160.3160736605778</v>
      </c>
      <c r="E34" s="379">
        <v>5507.7841678709819</v>
      </c>
      <c r="F34" s="379">
        <v>0</v>
      </c>
      <c r="G34" s="379">
        <v>2184.4130000000005</v>
      </c>
      <c r="H34" s="380">
        <f>G34/$G$39</f>
        <v>6.5431030703286971E-2</v>
      </c>
      <c r="I34" s="379">
        <v>114.23800000000003</v>
      </c>
      <c r="J34" s="381">
        <f>SUM(B34:B34)/SUM(C34:G34)-1</f>
        <v>5.1196265968627142E-3</v>
      </c>
      <c r="L34" s="35"/>
    </row>
    <row r="35" spans="1:12" x14ac:dyDescent="0.35">
      <c r="A35" s="382" t="s">
        <v>39</v>
      </c>
      <c r="B35" s="383">
        <v>4770.8599999999997</v>
      </c>
      <c r="C35" s="383">
        <v>0</v>
      </c>
      <c r="D35" s="383">
        <v>4193.7293271767494</v>
      </c>
      <c r="E35" s="383">
        <v>8608.1019412095502</v>
      </c>
      <c r="F35" s="383">
        <v>0</v>
      </c>
      <c r="G35" s="383">
        <v>1270.0819999999999</v>
      </c>
      <c r="H35" s="384">
        <f>G35/$G$39</f>
        <v>3.8043526722140959E-2</v>
      </c>
      <c r="I35" s="383">
        <v>160.17021260233753</v>
      </c>
      <c r="J35" s="385">
        <f>SUM(B35:B35,C39)/SUM(C35:G35)-1</f>
        <v>1.1382262635328377E-2</v>
      </c>
      <c r="L35" s="35"/>
    </row>
    <row r="36" spans="1:12" x14ac:dyDescent="0.35">
      <c r="A36" s="382" t="s">
        <v>38</v>
      </c>
      <c r="B36" s="383">
        <v>5555.4386177982888</v>
      </c>
      <c r="C36" s="383">
        <v>0</v>
      </c>
      <c r="D36" s="383">
        <v>0</v>
      </c>
      <c r="E36" s="383">
        <v>11677.045852423998</v>
      </c>
      <c r="F36" s="383">
        <v>3.7641052329366254</v>
      </c>
      <c r="G36" s="383">
        <v>3023.2530000000002</v>
      </c>
      <c r="H36" s="384">
        <f>G36/$G$39</f>
        <v>9.0557307554388483E-2</v>
      </c>
      <c r="I36" s="383">
        <v>205.42106097867796</v>
      </c>
      <c r="J36" s="385">
        <f>SUM(B36:B36,D39)/SUM(C36:G36)-1</f>
        <v>1.3970360543900551E-2</v>
      </c>
      <c r="L36" s="35"/>
    </row>
    <row r="37" spans="1:12" x14ac:dyDescent="0.35">
      <c r="A37" s="382" t="s">
        <v>37</v>
      </c>
      <c r="B37" s="383">
        <v>1860.1999989999997</v>
      </c>
      <c r="C37" s="383">
        <v>0</v>
      </c>
      <c r="D37" s="383">
        <v>0</v>
      </c>
      <c r="E37" s="383">
        <v>0</v>
      </c>
      <c r="F37" s="383">
        <v>16061.305292283778</v>
      </c>
      <c r="G37" s="383">
        <v>10964.898000000001</v>
      </c>
      <c r="H37" s="384">
        <f>G37/$G$39</f>
        <v>0.32843815601555648</v>
      </c>
      <c r="I37" s="383">
        <v>626.92566822075673</v>
      </c>
      <c r="J37" s="385">
        <f>SUM(B37:B37,E39)/SUM(C37:G37)-1</f>
        <v>2.3197067728701226E-2</v>
      </c>
      <c r="L37" s="35"/>
    </row>
    <row r="38" spans="1:12" ht="13.15" thickBot="1" x14ac:dyDescent="0.4">
      <c r="A38" s="386" t="s">
        <v>50</v>
      </c>
      <c r="B38" s="387">
        <v>1414.057</v>
      </c>
      <c r="C38" s="387">
        <v>0</v>
      </c>
      <c r="D38" s="387">
        <v>0</v>
      </c>
      <c r="E38" s="387">
        <v>0</v>
      </c>
      <c r="F38" s="387">
        <v>0</v>
      </c>
      <c r="G38" s="387">
        <v>15942.324044347248</v>
      </c>
      <c r="H38" s="388">
        <f>G38/$G$39</f>
        <v>0.47752997900462718</v>
      </c>
      <c r="I38" s="387">
        <v>1536.8023531694657</v>
      </c>
      <c r="J38" s="389">
        <f>SUM(B38:B38,F39)/SUM(C38:G38)-1</f>
        <v>9.639763618494368E-2</v>
      </c>
      <c r="L38" s="35"/>
    </row>
    <row r="39" spans="1:12" ht="13.5" thickBot="1" x14ac:dyDescent="0.4">
      <c r="A39" s="342" t="s">
        <v>4</v>
      </c>
      <c r="B39" s="390">
        <f t="shared" ref="B39:I39" si="2">SUM(B34:B38)</f>
        <v>36028.530339318488</v>
      </c>
      <c r="C39" s="390">
        <f t="shared" si="2"/>
        <v>9461.2234809886377</v>
      </c>
      <c r="D39" s="390">
        <f t="shared" si="2"/>
        <v>9354.0454008373272</v>
      </c>
      <c r="E39" s="390">
        <f t="shared" si="2"/>
        <v>25792.931961504532</v>
      </c>
      <c r="F39" s="390">
        <f t="shared" si="2"/>
        <v>16065.069397516714</v>
      </c>
      <c r="G39" s="390">
        <f t="shared" si="2"/>
        <v>33384.970044347247</v>
      </c>
      <c r="H39" s="391">
        <f t="shared" si="2"/>
        <v>1</v>
      </c>
      <c r="I39" s="390">
        <f t="shared" si="2"/>
        <v>2643.5572949712378</v>
      </c>
      <c r="J39" s="392"/>
    </row>
    <row r="41" spans="1:12" s="335" customFormat="1" ht="15" x14ac:dyDescent="0.4">
      <c r="A41" s="340" t="s">
        <v>79</v>
      </c>
      <c r="B41" s="341"/>
      <c r="C41" s="341"/>
      <c r="D41" s="341"/>
      <c r="E41" s="341"/>
      <c r="F41" s="341"/>
      <c r="G41" s="341"/>
      <c r="H41" s="341"/>
      <c r="I41" s="341"/>
      <c r="J41" s="341"/>
    </row>
    <row r="42" spans="1:12" ht="13.15" thickBot="1" x14ac:dyDescent="0.4"/>
    <row r="43" spans="1:12" ht="27.75" customHeight="1" thickBot="1" x14ac:dyDescent="0.4">
      <c r="A43" s="1"/>
      <c r="B43" s="1"/>
      <c r="C43" s="545" t="s">
        <v>41</v>
      </c>
      <c r="D43" s="546"/>
      <c r="E43" s="546"/>
      <c r="F43" s="547"/>
      <c r="G43" s="1"/>
      <c r="H43" s="1"/>
      <c r="I43" s="1"/>
      <c r="J43" s="1"/>
    </row>
    <row r="44" spans="1:12" ht="26.65" thickBot="1" x14ac:dyDescent="0.4">
      <c r="A44" s="541" t="s">
        <v>51</v>
      </c>
      <c r="B44" s="542" t="s">
        <v>107</v>
      </c>
      <c r="C44" s="543" t="s">
        <v>70</v>
      </c>
      <c r="D44" s="543" t="s">
        <v>42</v>
      </c>
      <c r="E44" s="543" t="s">
        <v>43</v>
      </c>
      <c r="F44" s="543" t="s">
        <v>44</v>
      </c>
      <c r="G44" s="542" t="s">
        <v>45</v>
      </c>
      <c r="H44" s="542" t="s">
        <v>46</v>
      </c>
      <c r="I44" s="542" t="s">
        <v>9</v>
      </c>
      <c r="J44" s="544" t="s">
        <v>47</v>
      </c>
    </row>
    <row r="45" spans="1:12" x14ac:dyDescent="0.35">
      <c r="A45" s="378" t="s">
        <v>40</v>
      </c>
      <c r="B45" s="379">
        <v>21920.811722520211</v>
      </c>
      <c r="C45" s="379">
        <v>8962.0179711703568</v>
      </c>
      <c r="D45" s="379">
        <v>4977.5341249525809</v>
      </c>
      <c r="E45" s="379">
        <v>5486.5856263972646</v>
      </c>
      <c r="F45" s="379">
        <v>0</v>
      </c>
      <c r="G45" s="379">
        <v>2379.3859999999995</v>
      </c>
      <c r="H45" s="380">
        <f>G45/$G$50</f>
        <v>7.1768985977467684E-2</v>
      </c>
      <c r="I45" s="379">
        <v>115.28800000000007</v>
      </c>
      <c r="J45" s="381">
        <f>SUM(B45:B45)/SUM(C45:G45)-1</f>
        <v>5.287100712052295E-3</v>
      </c>
      <c r="L45" s="35"/>
    </row>
    <row r="46" spans="1:12" x14ac:dyDescent="0.35">
      <c r="A46" s="382" t="s">
        <v>39</v>
      </c>
      <c r="B46" s="383">
        <v>5121.7710000000006</v>
      </c>
      <c r="C46" s="383">
        <v>0</v>
      </c>
      <c r="D46" s="383">
        <v>4138.2089954020657</v>
      </c>
      <c r="E46" s="383">
        <v>8518.8016162336662</v>
      </c>
      <c r="F46" s="383">
        <v>0</v>
      </c>
      <c r="G46" s="383">
        <v>1262.3799999999999</v>
      </c>
      <c r="H46" s="384">
        <f>G46/$G$50</f>
        <v>3.8076937713441894E-2</v>
      </c>
      <c r="I46" s="383">
        <v>164.39835953462864</v>
      </c>
      <c r="J46" s="385">
        <f>SUM(B46:B46,C50)/SUM(C46:G46)-1</f>
        <v>1.1810744027630049E-2</v>
      </c>
      <c r="L46" s="35"/>
    </row>
    <row r="47" spans="1:12" x14ac:dyDescent="0.35">
      <c r="A47" s="382" t="s">
        <v>38</v>
      </c>
      <c r="B47" s="383">
        <v>5499.943617798288</v>
      </c>
      <c r="C47" s="383">
        <v>0</v>
      </c>
      <c r="D47" s="383">
        <v>0</v>
      </c>
      <c r="E47" s="383">
        <v>11407.849690003348</v>
      </c>
      <c r="F47" s="383">
        <v>3.6969817812652663</v>
      </c>
      <c r="G47" s="383">
        <v>2989.1149999999998</v>
      </c>
      <c r="H47" s="384">
        <f>G47/$G$50</f>
        <v>9.0160130605138611E-2</v>
      </c>
      <c r="I47" s="383">
        <v>215.02506636832243</v>
      </c>
      <c r="J47" s="385">
        <f>SUM(B47:B47,D50)/SUM(C47:G47)-1</f>
        <v>1.4931610176609045E-2</v>
      </c>
      <c r="L47" s="35"/>
    </row>
    <row r="48" spans="1:12" x14ac:dyDescent="0.35">
      <c r="A48" s="382" t="s">
        <v>37</v>
      </c>
      <c r="B48" s="383">
        <v>1859.5059969999998</v>
      </c>
      <c r="C48" s="383">
        <v>0</v>
      </c>
      <c r="D48" s="383">
        <v>0</v>
      </c>
      <c r="E48" s="383">
        <v>0</v>
      </c>
      <c r="F48" s="383">
        <v>15941.846125085924</v>
      </c>
      <c r="G48" s="383">
        <v>10710.447999999999</v>
      </c>
      <c r="H48" s="384">
        <f>G48/$G$50</f>
        <v>0.32305728970599845</v>
      </c>
      <c r="I48" s="383">
        <v>620.44580454835136</v>
      </c>
      <c r="J48" s="385">
        <f>SUM(B48:B48,E50)/SUM(C48:G48)-1</f>
        <v>2.3279377063619267E-2</v>
      </c>
      <c r="L48" s="35"/>
    </row>
    <row r="49" spans="1:12" ht="13.15" thickBot="1" x14ac:dyDescent="0.4">
      <c r="A49" s="386" t="s">
        <v>50</v>
      </c>
      <c r="B49" s="387">
        <v>1427.884</v>
      </c>
      <c r="C49" s="387">
        <v>0</v>
      </c>
      <c r="D49" s="387">
        <v>0</v>
      </c>
      <c r="E49" s="387">
        <v>0</v>
      </c>
      <c r="F49" s="387">
        <v>0</v>
      </c>
      <c r="G49" s="387">
        <v>15812.072397464673</v>
      </c>
      <c r="H49" s="388">
        <f>G49/$G$50</f>
        <v>0.47693665599795332</v>
      </c>
      <c r="I49" s="387">
        <v>1561.354709402525</v>
      </c>
      <c r="J49" s="389">
        <f>SUM(B49:B49,F50)/SUM(C49:G49)-1</f>
        <v>9.8744470057755551E-2</v>
      </c>
      <c r="L49" s="35"/>
    </row>
    <row r="50" spans="1:12" ht="13.5" thickBot="1" x14ac:dyDescent="0.4">
      <c r="A50" s="342" t="s">
        <v>4</v>
      </c>
      <c r="B50" s="390">
        <f t="shared" ref="B50:I50" si="3">SUM(B45:B49)</f>
        <v>35829.9163373185</v>
      </c>
      <c r="C50" s="390">
        <f t="shared" si="3"/>
        <v>8962.0179711703568</v>
      </c>
      <c r="D50" s="390">
        <f t="shared" si="3"/>
        <v>9115.7431203546475</v>
      </c>
      <c r="E50" s="390">
        <f t="shared" si="3"/>
        <v>25413.236932634281</v>
      </c>
      <c r="F50" s="390">
        <f t="shared" si="3"/>
        <v>15945.54310686719</v>
      </c>
      <c r="G50" s="390">
        <f t="shared" si="3"/>
        <v>33153.401397464673</v>
      </c>
      <c r="H50" s="391">
        <f t="shared" si="3"/>
        <v>1</v>
      </c>
      <c r="I50" s="390">
        <f t="shared" si="3"/>
        <v>2676.5119398538272</v>
      </c>
      <c r="J50" s="392"/>
    </row>
    <row r="52" spans="1:12" s="335" customFormat="1" ht="15" x14ac:dyDescent="0.4">
      <c r="A52" s="340" t="s">
        <v>80</v>
      </c>
      <c r="B52" s="341"/>
      <c r="C52" s="341"/>
      <c r="D52" s="341"/>
      <c r="E52" s="341"/>
      <c r="F52" s="341"/>
      <c r="G52" s="341"/>
      <c r="H52" s="341"/>
      <c r="I52" s="341"/>
      <c r="J52" s="341"/>
    </row>
    <row r="53" spans="1:12" ht="13.15" thickBot="1" x14ac:dyDescent="0.4"/>
    <row r="54" spans="1:12" ht="27.75" customHeight="1" thickBot="1" x14ac:dyDescent="0.4">
      <c r="A54" s="1"/>
      <c r="B54" s="1"/>
      <c r="C54" s="545" t="s">
        <v>41</v>
      </c>
      <c r="D54" s="546"/>
      <c r="E54" s="546"/>
      <c r="F54" s="547"/>
      <c r="G54" s="1"/>
      <c r="H54" s="1"/>
      <c r="I54" s="1"/>
      <c r="J54" s="1"/>
    </row>
    <row r="55" spans="1:12" ht="26.65" thickBot="1" x14ac:dyDescent="0.4">
      <c r="A55" s="541" t="s">
        <v>51</v>
      </c>
      <c r="B55" s="542" t="s">
        <v>107</v>
      </c>
      <c r="C55" s="543" t="s">
        <v>70</v>
      </c>
      <c r="D55" s="543" t="s">
        <v>42</v>
      </c>
      <c r="E55" s="543" t="s">
        <v>43</v>
      </c>
      <c r="F55" s="543" t="s">
        <v>44</v>
      </c>
      <c r="G55" s="542" t="s">
        <v>45</v>
      </c>
      <c r="H55" s="542" t="s">
        <v>46</v>
      </c>
      <c r="I55" s="542" t="s">
        <v>9</v>
      </c>
      <c r="J55" s="544" t="s">
        <v>47</v>
      </c>
    </row>
    <row r="56" spans="1:12" x14ac:dyDescent="0.35">
      <c r="A56" s="378" t="s">
        <v>40</v>
      </c>
      <c r="B56" s="379">
        <v>21140.301722520213</v>
      </c>
      <c r="C56" s="379">
        <v>8880.302404134989</v>
      </c>
      <c r="D56" s="379">
        <v>4829.110994386323</v>
      </c>
      <c r="E56" s="379">
        <v>4772.4143239988989</v>
      </c>
      <c r="F56" s="379">
        <v>0</v>
      </c>
      <c r="G56" s="379">
        <v>2501.4940000000001</v>
      </c>
      <c r="H56" s="380">
        <f>G56/$G$61</f>
        <v>8.4970213473687911E-2</v>
      </c>
      <c r="I56" s="379">
        <v>156.98000000000005</v>
      </c>
      <c r="J56" s="381">
        <f>SUM(B56:B56)/SUM(C56:G56)-1</f>
        <v>7.4811796757385807E-3</v>
      </c>
      <c r="L56" s="35"/>
    </row>
    <row r="57" spans="1:12" x14ac:dyDescent="0.35">
      <c r="A57" s="382" t="s">
        <v>39</v>
      </c>
      <c r="B57" s="383">
        <v>3404.5410000000002</v>
      </c>
      <c r="C57" s="383">
        <v>0</v>
      </c>
      <c r="D57" s="383">
        <v>3675.5948266470996</v>
      </c>
      <c r="E57" s="383">
        <v>7279.5117605304813</v>
      </c>
      <c r="F57" s="383">
        <v>0</v>
      </c>
      <c r="G57" s="383">
        <v>1149.7080000000001</v>
      </c>
      <c r="H57" s="384">
        <f>G57/$G$61</f>
        <v>3.9053035582898375E-2</v>
      </c>
      <c r="I57" s="383">
        <v>180.02881695740791</v>
      </c>
      <c r="J57" s="385">
        <f>SUM(B57:B57,C61)/SUM(C57:G57)-1</f>
        <v>1.4872496861547235E-2</v>
      </c>
      <c r="L57" s="35"/>
    </row>
    <row r="58" spans="1:12" x14ac:dyDescent="0.35">
      <c r="A58" s="382" t="s">
        <v>38</v>
      </c>
      <c r="B58" s="383">
        <v>5021.0476177982882</v>
      </c>
      <c r="C58" s="383">
        <v>0</v>
      </c>
      <c r="D58" s="383">
        <v>0</v>
      </c>
      <c r="E58" s="383">
        <v>10611.723616541447</v>
      </c>
      <c r="F58" s="383">
        <v>3.198993429993934</v>
      </c>
      <c r="G58" s="383">
        <v>2710.3289093880653</v>
      </c>
      <c r="H58" s="384">
        <f>G58/$G$61</f>
        <v>9.2063873035318752E-2</v>
      </c>
      <c r="I58" s="383">
        <v>200.50191947220392</v>
      </c>
      <c r="J58" s="385">
        <f>SUM(B58:B58,D61)/SUM(C58:G58)-1</f>
        <v>1.5046764346692276E-2</v>
      </c>
      <c r="L58" s="35"/>
    </row>
    <row r="59" spans="1:12" x14ac:dyDescent="0.35">
      <c r="A59" s="382" t="s">
        <v>37</v>
      </c>
      <c r="B59" s="383">
        <v>1666.7560000000001</v>
      </c>
      <c r="C59" s="383">
        <v>0</v>
      </c>
      <c r="D59" s="383">
        <v>0</v>
      </c>
      <c r="E59" s="383">
        <v>0</v>
      </c>
      <c r="F59" s="383">
        <v>15046.698924170687</v>
      </c>
      <c r="G59" s="383">
        <v>8656.8839163471512</v>
      </c>
      <c r="H59" s="384">
        <f>G59/$G$61</f>
        <v>0.29405518237859168</v>
      </c>
      <c r="I59" s="383">
        <v>626.82286055298766</v>
      </c>
      <c r="J59" s="385">
        <f>SUM(B59:B59,E61)/SUM(C59:G59)-1</f>
        <v>2.6444224266448213E-2</v>
      </c>
      <c r="L59" s="35"/>
    </row>
    <row r="60" spans="1:12" ht="13.15" thickBot="1" x14ac:dyDescent="0.4">
      <c r="A60" s="386" t="s">
        <v>50</v>
      </c>
      <c r="B60" s="387">
        <v>973.23500000000001</v>
      </c>
      <c r="C60" s="387">
        <v>0</v>
      </c>
      <c r="D60" s="387">
        <v>0</v>
      </c>
      <c r="E60" s="387">
        <v>0</v>
      </c>
      <c r="F60" s="387">
        <v>0</v>
      </c>
      <c r="G60" s="387">
        <v>14421.242881781534</v>
      </c>
      <c r="H60" s="388">
        <f>G60/$G$61</f>
        <v>0.48985769552950326</v>
      </c>
      <c r="I60" s="387">
        <v>1601.8900358191463</v>
      </c>
      <c r="J60" s="389">
        <f>SUM(B60:B60,F61)/SUM(C60:G60)-1</f>
        <v>0.11107850058075286</v>
      </c>
      <c r="L60" s="35"/>
    </row>
    <row r="61" spans="1:12" ht="13.5" thickBot="1" x14ac:dyDescent="0.4">
      <c r="A61" s="342" t="s">
        <v>4</v>
      </c>
      <c r="B61" s="390">
        <f t="shared" ref="B61:I61" si="4">SUM(B56:B60)</f>
        <v>32205.881340318505</v>
      </c>
      <c r="C61" s="390">
        <f t="shared" si="4"/>
        <v>8880.302404134989</v>
      </c>
      <c r="D61" s="390">
        <f t="shared" si="4"/>
        <v>8504.7058210334217</v>
      </c>
      <c r="E61" s="390">
        <f t="shared" si="4"/>
        <v>22663.649701070826</v>
      </c>
      <c r="F61" s="390">
        <f t="shared" si="4"/>
        <v>15049.897917600681</v>
      </c>
      <c r="G61" s="390">
        <f t="shared" si="4"/>
        <v>29439.657707516752</v>
      </c>
      <c r="H61" s="391">
        <f t="shared" si="4"/>
        <v>1</v>
      </c>
      <c r="I61" s="390">
        <f t="shared" si="4"/>
        <v>2766.2236328017457</v>
      </c>
      <c r="J61" s="392"/>
    </row>
    <row r="63" spans="1:12" s="335" customFormat="1" ht="15" x14ac:dyDescent="0.4">
      <c r="A63" s="340" t="s">
        <v>81</v>
      </c>
      <c r="B63" s="341"/>
      <c r="C63" s="341"/>
      <c r="D63" s="341"/>
      <c r="E63" s="341"/>
      <c r="F63" s="341"/>
      <c r="G63" s="341"/>
      <c r="H63" s="341"/>
      <c r="I63" s="341"/>
      <c r="J63" s="341"/>
    </row>
    <row r="64" spans="1:12" ht="13.15" thickBot="1" x14ac:dyDescent="0.4"/>
    <row r="65" spans="1:12" ht="27.75" customHeight="1" thickBot="1" x14ac:dyDescent="0.4">
      <c r="A65" s="1"/>
      <c r="B65" s="1"/>
      <c r="C65" s="545" t="s">
        <v>41</v>
      </c>
      <c r="D65" s="546"/>
      <c r="E65" s="546"/>
      <c r="F65" s="547"/>
      <c r="G65" s="1"/>
      <c r="H65" s="1"/>
      <c r="I65" s="1"/>
      <c r="J65" s="1"/>
    </row>
    <row r="66" spans="1:12" ht="26.65" thickBot="1" x14ac:dyDescent="0.4">
      <c r="A66" s="541" t="s">
        <v>51</v>
      </c>
      <c r="B66" s="542" t="s">
        <v>107</v>
      </c>
      <c r="C66" s="543" t="s">
        <v>70</v>
      </c>
      <c r="D66" s="543" t="s">
        <v>42</v>
      </c>
      <c r="E66" s="543" t="s">
        <v>43</v>
      </c>
      <c r="F66" s="543" t="s">
        <v>44</v>
      </c>
      <c r="G66" s="542" t="s">
        <v>45</v>
      </c>
      <c r="H66" s="542" t="s">
        <v>46</v>
      </c>
      <c r="I66" s="542" t="s">
        <v>9</v>
      </c>
      <c r="J66" s="544" t="s">
        <v>47</v>
      </c>
    </row>
    <row r="67" spans="1:12" x14ac:dyDescent="0.35">
      <c r="A67" s="378" t="s">
        <v>40</v>
      </c>
      <c r="B67" s="379">
        <v>24017.985722520196</v>
      </c>
      <c r="C67" s="379">
        <v>10435.200134917162</v>
      </c>
      <c r="D67" s="379">
        <v>5135.3929729956517</v>
      </c>
      <c r="E67" s="379">
        <v>5785.4396146073841</v>
      </c>
      <c r="F67" s="379">
        <v>0</v>
      </c>
      <c r="G67" s="379">
        <v>2204.3790000000004</v>
      </c>
      <c r="H67" s="380">
        <f>G67/$G$72</f>
        <v>7.0566908068777939E-2</v>
      </c>
      <c r="I67" s="379">
        <v>457.57400000000001</v>
      </c>
      <c r="J67" s="381">
        <f>SUM(B67:B67)/SUM(C67:G67)-1</f>
        <v>1.9421307462238691E-2</v>
      </c>
      <c r="L67" s="35"/>
    </row>
    <row r="68" spans="1:12" x14ac:dyDescent="0.35">
      <c r="A68" s="382" t="s">
        <v>39</v>
      </c>
      <c r="B68" s="383">
        <v>5575.3039999999992</v>
      </c>
      <c r="C68" s="383">
        <v>0</v>
      </c>
      <c r="D68" s="383">
        <v>4886.0070723409171</v>
      </c>
      <c r="E68" s="383">
        <v>9818.862875814757</v>
      </c>
      <c r="F68" s="383">
        <v>0</v>
      </c>
      <c r="G68" s="383">
        <v>1039.548</v>
      </c>
      <c r="H68" s="384">
        <f>G68/$G$72</f>
        <v>3.3278165029281243E-2</v>
      </c>
      <c r="I68" s="383">
        <v>266.08618676149024</v>
      </c>
      <c r="J68" s="385">
        <f>SUM(B68:B68,C72)/SUM(C68:G68)-1</f>
        <v>1.6900350818790155E-2</v>
      </c>
      <c r="L68" s="35"/>
    </row>
    <row r="69" spans="1:12" x14ac:dyDescent="0.35">
      <c r="A69" s="382" t="s">
        <v>38</v>
      </c>
      <c r="B69" s="383">
        <v>5608.537617798288</v>
      </c>
      <c r="C69" s="383">
        <v>0</v>
      </c>
      <c r="D69" s="383">
        <v>0</v>
      </c>
      <c r="E69" s="383">
        <v>13265.283293606755</v>
      </c>
      <c r="F69" s="383">
        <v>3.8346019941998359</v>
      </c>
      <c r="G69" s="383">
        <v>2079.289700950209</v>
      </c>
      <c r="H69" s="384">
        <f>G69/$G$72</f>
        <v>6.6562530842160142E-2</v>
      </c>
      <c r="I69" s="383">
        <v>281.53006658369253</v>
      </c>
      <c r="J69" s="385">
        <f>SUM(B69:B69,D72)/SUM(C69:G69)-1</f>
        <v>1.8342623807238168E-2</v>
      </c>
      <c r="L69" s="35"/>
    </row>
    <row r="70" spans="1:12" x14ac:dyDescent="0.35">
      <c r="A70" s="382" t="s">
        <v>37</v>
      </c>
      <c r="B70" s="383">
        <v>908.97200099999986</v>
      </c>
      <c r="C70" s="383">
        <v>0</v>
      </c>
      <c r="D70" s="383">
        <v>0</v>
      </c>
      <c r="E70" s="383">
        <v>0</v>
      </c>
      <c r="F70" s="383">
        <v>23140.148570418576</v>
      </c>
      <c r="G70" s="383">
        <v>5569.1562115445022</v>
      </c>
      <c r="H70" s="384">
        <f>G70/$G$72</f>
        <v>0.17828065609440319</v>
      </c>
      <c r="I70" s="383">
        <v>1069.2510030658193</v>
      </c>
      <c r="J70" s="385">
        <f>SUM(B70:B70,E72)/SUM(C70:G70)-1</f>
        <v>3.7244127337335842E-2</v>
      </c>
      <c r="L70" s="35"/>
    </row>
    <row r="71" spans="1:12" ht="13.15" thickBot="1" x14ac:dyDescent="0.4">
      <c r="A71" s="386" t="s">
        <v>50</v>
      </c>
      <c r="B71" s="387">
        <v>2.1459999999999999</v>
      </c>
      <c r="C71" s="387">
        <v>0</v>
      </c>
      <c r="D71" s="387">
        <v>0</v>
      </c>
      <c r="E71" s="387">
        <v>0</v>
      </c>
      <c r="F71" s="387">
        <v>0</v>
      </c>
      <c r="G71" s="387">
        <v>20345.767744759331</v>
      </c>
      <c r="H71" s="388">
        <f>G71/$G$72</f>
        <v>0.65131173996537739</v>
      </c>
      <c r="I71" s="387">
        <v>2800.3614276534427</v>
      </c>
      <c r="J71" s="389">
        <f>SUM(B71:B71,F72)/SUM(C71:G71)-1</f>
        <v>0.13763852329311899</v>
      </c>
      <c r="L71" s="35"/>
    </row>
    <row r="72" spans="1:12" ht="13.5" thickBot="1" x14ac:dyDescent="0.4">
      <c r="A72" s="342" t="s">
        <v>4</v>
      </c>
      <c r="B72" s="390">
        <f t="shared" ref="B72:I72" si="5">SUM(B67:B71)</f>
        <v>36112.945341318489</v>
      </c>
      <c r="C72" s="390">
        <f t="shared" si="5"/>
        <v>10435.200134917162</v>
      </c>
      <c r="D72" s="390">
        <f t="shared" si="5"/>
        <v>10021.40004533657</v>
      </c>
      <c r="E72" s="390">
        <f t="shared" si="5"/>
        <v>28869.585784028895</v>
      </c>
      <c r="F72" s="390">
        <f t="shared" si="5"/>
        <v>23143.983172412776</v>
      </c>
      <c r="G72" s="390">
        <f t="shared" si="5"/>
        <v>31238.140657254044</v>
      </c>
      <c r="H72" s="391">
        <f t="shared" si="5"/>
        <v>0.99999999999999989</v>
      </c>
      <c r="I72" s="390">
        <f t="shared" si="5"/>
        <v>4874.8026840644452</v>
      </c>
      <c r="J72" s="392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1:L72"/>
  <sheetViews>
    <sheetView showGridLines="0" workbookViewId="0">
      <selection activeCell="A65" sqref="A65:XFD66"/>
    </sheetView>
  </sheetViews>
  <sheetFormatPr baseColWidth="10" defaultRowHeight="12.75" x14ac:dyDescent="0.35"/>
  <cols>
    <col min="1" max="1" width="21.46484375" customWidth="1"/>
    <col min="11" max="11" width="2.73046875" customWidth="1"/>
  </cols>
  <sheetData>
    <row r="1" spans="1:12" x14ac:dyDescent="0.35">
      <c r="L1" s="1"/>
    </row>
    <row r="2" spans="1:12" x14ac:dyDescent="0.35">
      <c r="L2" s="1"/>
    </row>
    <row r="3" spans="1:12" x14ac:dyDescent="0.35">
      <c r="L3" s="1"/>
    </row>
    <row r="4" spans="1:12" x14ac:dyDescent="0.35">
      <c r="L4" s="1"/>
    </row>
    <row r="5" spans="1:12" x14ac:dyDescent="0.35">
      <c r="L5" s="1"/>
    </row>
    <row r="6" spans="1:12" s="4" customFormat="1" ht="30" customHeight="1" x14ac:dyDescent="0.35">
      <c r="A6" s="490" t="s">
        <v>228</v>
      </c>
      <c r="B6" s="324"/>
    </row>
    <row r="7" spans="1:12" ht="5.2" customHeight="1" x14ac:dyDescent="0.35"/>
    <row r="8" spans="1:12" s="335" customFormat="1" ht="15" x14ac:dyDescent="0.4">
      <c r="A8" s="340" t="s">
        <v>48</v>
      </c>
      <c r="B8" s="341"/>
      <c r="C8" s="341"/>
      <c r="D8" s="341"/>
      <c r="E8" s="341"/>
      <c r="F8" s="341"/>
      <c r="G8" s="341"/>
      <c r="H8" s="341"/>
      <c r="I8" s="341"/>
      <c r="J8" s="341"/>
    </row>
    <row r="9" spans="1:12" ht="13.15" thickBot="1" x14ac:dyDescent="0.4"/>
    <row r="10" spans="1:12" ht="27.75" customHeight="1" thickBot="1" x14ac:dyDescent="0.4">
      <c r="A10" s="1"/>
      <c r="B10" s="1"/>
      <c r="C10" s="545" t="s">
        <v>41</v>
      </c>
      <c r="D10" s="546"/>
      <c r="E10" s="546"/>
      <c r="F10" s="547"/>
      <c r="G10" s="1"/>
      <c r="H10" s="1"/>
      <c r="I10" s="1"/>
      <c r="J10" s="1"/>
    </row>
    <row r="11" spans="1:12" ht="26.65" thickBot="1" x14ac:dyDescent="0.4">
      <c r="A11" s="541" t="s">
        <v>51</v>
      </c>
      <c r="B11" s="542" t="s">
        <v>107</v>
      </c>
      <c r="C11" s="543" t="s">
        <v>70</v>
      </c>
      <c r="D11" s="543" t="s">
        <v>42</v>
      </c>
      <c r="E11" s="543" t="s">
        <v>43</v>
      </c>
      <c r="F11" s="543" t="s">
        <v>44</v>
      </c>
      <c r="G11" s="542" t="s">
        <v>45</v>
      </c>
      <c r="H11" s="542" t="s">
        <v>46</v>
      </c>
      <c r="I11" s="542" t="s">
        <v>9</v>
      </c>
      <c r="J11" s="544" t="s">
        <v>47</v>
      </c>
    </row>
    <row r="12" spans="1:12" x14ac:dyDescent="0.35">
      <c r="A12" s="378" t="s">
        <v>40</v>
      </c>
      <c r="B12" s="379">
        <v>16622442.758230094</v>
      </c>
      <c r="C12" s="379">
        <v>6916471.4969233032</v>
      </c>
      <c r="D12" s="379">
        <v>4069157.3523474904</v>
      </c>
      <c r="E12" s="379">
        <v>3926008.3259491185</v>
      </c>
      <c r="F12" s="379">
        <v>0</v>
      </c>
      <c r="G12" s="379">
        <v>1493457.9780000001</v>
      </c>
      <c r="H12" s="380">
        <f>G12/$G$17</f>
        <v>6.4761584420327242E-2</v>
      </c>
      <c r="I12" s="379">
        <v>217347.60501017634</v>
      </c>
      <c r="J12" s="381">
        <f>SUM(B12:B12)/SUM(C12:G12)-1</f>
        <v>1.3248786610513541E-2</v>
      </c>
      <c r="L12" s="35"/>
    </row>
    <row r="13" spans="1:12" x14ac:dyDescent="0.35">
      <c r="A13" s="382" t="s">
        <v>39</v>
      </c>
      <c r="B13" s="383">
        <v>3573758.3509999979</v>
      </c>
      <c r="C13" s="383">
        <v>0</v>
      </c>
      <c r="D13" s="383">
        <v>3154904.8812662945</v>
      </c>
      <c r="E13" s="383">
        <v>6343457.3001722526</v>
      </c>
      <c r="F13" s="383">
        <v>0</v>
      </c>
      <c r="G13" s="383">
        <v>841735.41700000002</v>
      </c>
      <c r="H13" s="384">
        <f>G13/$G$17</f>
        <v>3.6500604684321994E-2</v>
      </c>
      <c r="I13" s="383">
        <v>150132.24948475309</v>
      </c>
      <c r="J13" s="385">
        <f>SUM(B13:B13,C17)/SUM(C13:G13)-1</f>
        <v>1.4519422863806142E-2</v>
      </c>
      <c r="L13" s="35"/>
    </row>
    <row r="14" spans="1:12" x14ac:dyDescent="0.35">
      <c r="A14" s="382" t="s">
        <v>38</v>
      </c>
      <c r="B14" s="383">
        <v>3823506.4395011161</v>
      </c>
      <c r="C14" s="383">
        <v>0</v>
      </c>
      <c r="D14" s="383">
        <v>0</v>
      </c>
      <c r="E14" s="383">
        <v>8832460.8701600209</v>
      </c>
      <c r="F14" s="383">
        <v>2669.9188176517273</v>
      </c>
      <c r="G14" s="383">
        <v>2053882.8173232989</v>
      </c>
      <c r="H14" s="384">
        <f>G14/$G$17</f>
        <v>8.9063574216978983E-2</v>
      </c>
      <c r="I14" s="383">
        <v>158555.06681392842</v>
      </c>
      <c r="J14" s="385">
        <f>SUM(B14:B14,D17)/SUM(C14:G14)-1</f>
        <v>1.4561012828763431E-2</v>
      </c>
      <c r="L14" s="35"/>
    </row>
    <row r="15" spans="1:12" x14ac:dyDescent="0.35">
      <c r="A15" s="382" t="s">
        <v>37</v>
      </c>
      <c r="B15" s="383">
        <v>1062278.6710020001</v>
      </c>
      <c r="C15" s="383">
        <v>0</v>
      </c>
      <c r="D15" s="383">
        <v>0</v>
      </c>
      <c r="E15" s="383">
        <v>0</v>
      </c>
      <c r="F15" s="383">
        <v>12835446.946616702</v>
      </c>
      <c r="G15" s="383">
        <v>6773439.932088959</v>
      </c>
      <c r="H15" s="384">
        <f>G15/$G$17</f>
        <v>0.2937201504426894</v>
      </c>
      <c r="I15" s="383">
        <v>555318.28857773344</v>
      </c>
      <c r="J15" s="385">
        <f>SUM(B15:B15,E17)/SUM(C15:G15)-1</f>
        <v>2.8319725235438131E-2</v>
      </c>
      <c r="L15" s="35"/>
    </row>
    <row r="16" spans="1:12" ht="13.15" thickBot="1" x14ac:dyDescent="0.4">
      <c r="A16" s="386" t="s">
        <v>50</v>
      </c>
      <c r="B16" s="387">
        <v>425859.71199999982</v>
      </c>
      <c r="C16" s="387">
        <v>0</v>
      </c>
      <c r="D16" s="387">
        <v>0</v>
      </c>
      <c r="E16" s="387">
        <v>0</v>
      </c>
      <c r="F16" s="387">
        <v>0</v>
      </c>
      <c r="G16" s="387">
        <v>11898346.114714876</v>
      </c>
      <c r="H16" s="388">
        <f>G16/$G$17</f>
        <v>0.51595408623568251</v>
      </c>
      <c r="I16" s="387">
        <v>1365630.462719477</v>
      </c>
      <c r="J16" s="389">
        <f>SUM(B16:B16,F17)/SUM(C16:G16)-1</f>
        <v>0.11477481404164069</v>
      </c>
      <c r="L16" s="35"/>
    </row>
    <row r="17" spans="1:12" ht="13.5" thickBot="1" x14ac:dyDescent="0.4">
      <c r="A17" s="342" t="s">
        <v>4</v>
      </c>
      <c r="B17" s="390">
        <f t="shared" ref="B17:I17" si="0">SUM(B12:B16)</f>
        <v>25507845.93173321</v>
      </c>
      <c r="C17" s="390">
        <f t="shared" si="0"/>
        <v>6916471.4969233032</v>
      </c>
      <c r="D17" s="390">
        <f t="shared" si="0"/>
        <v>7224062.2336137854</v>
      </c>
      <c r="E17" s="390">
        <f t="shared" si="0"/>
        <v>19101926.496281393</v>
      </c>
      <c r="F17" s="390">
        <f t="shared" si="0"/>
        <v>12838116.865434354</v>
      </c>
      <c r="G17" s="390">
        <f t="shared" si="0"/>
        <v>23060862.259127133</v>
      </c>
      <c r="H17" s="391">
        <f>SUM(H12:H16)</f>
        <v>1</v>
      </c>
      <c r="I17" s="390">
        <f t="shared" si="0"/>
        <v>2446983.6726060687</v>
      </c>
      <c r="J17" s="392"/>
    </row>
    <row r="19" spans="1:12" s="335" customFormat="1" ht="15" x14ac:dyDescent="0.4">
      <c r="A19" s="340" t="s">
        <v>71</v>
      </c>
      <c r="B19" s="341"/>
      <c r="C19" s="341"/>
      <c r="D19" s="341"/>
      <c r="E19" s="341"/>
      <c r="F19" s="341"/>
      <c r="G19" s="341"/>
      <c r="H19" s="341"/>
      <c r="I19" s="341"/>
      <c r="J19" s="341"/>
    </row>
    <row r="20" spans="1:12" ht="13.15" thickBot="1" x14ac:dyDescent="0.4"/>
    <row r="21" spans="1:12" ht="27.75" customHeight="1" thickBot="1" x14ac:dyDescent="0.4">
      <c r="A21" s="1"/>
      <c r="B21" s="1"/>
      <c r="C21" s="545" t="s">
        <v>41</v>
      </c>
      <c r="D21" s="546"/>
      <c r="E21" s="546"/>
      <c r="F21" s="547"/>
      <c r="G21" s="1"/>
      <c r="H21" s="1"/>
      <c r="I21" s="1"/>
      <c r="J21" s="1"/>
    </row>
    <row r="22" spans="1:12" ht="26.65" thickBot="1" x14ac:dyDescent="0.4">
      <c r="A22" s="541" t="s">
        <v>51</v>
      </c>
      <c r="B22" s="542" t="s">
        <v>107</v>
      </c>
      <c r="C22" s="543" t="s">
        <v>70</v>
      </c>
      <c r="D22" s="543" t="s">
        <v>42</v>
      </c>
      <c r="E22" s="543" t="s">
        <v>43</v>
      </c>
      <c r="F22" s="543" t="s">
        <v>44</v>
      </c>
      <c r="G22" s="542" t="s">
        <v>45</v>
      </c>
      <c r="H22" s="542" t="s">
        <v>46</v>
      </c>
      <c r="I22" s="542" t="s">
        <v>9</v>
      </c>
      <c r="J22" s="544" t="s">
        <v>47</v>
      </c>
    </row>
    <row r="23" spans="1:12" x14ac:dyDescent="0.35">
      <c r="A23" s="378" t="s">
        <v>40</v>
      </c>
      <c r="B23" s="379">
        <v>20760370.409851808</v>
      </c>
      <c r="C23" s="379">
        <v>8592727.3426728174</v>
      </c>
      <c r="D23" s="379">
        <v>4984280.7351682233</v>
      </c>
      <c r="E23" s="379">
        <v>4799954.470003563</v>
      </c>
      <c r="F23" s="379">
        <v>0</v>
      </c>
      <c r="G23" s="379">
        <v>2129542.4470000006</v>
      </c>
      <c r="H23" s="380">
        <f>G23/$G$28</f>
        <v>7.4129214308269548E-2</v>
      </c>
      <c r="I23" s="379">
        <v>253865.4150072113</v>
      </c>
      <c r="J23" s="381">
        <f>SUM(B23:B23)/SUM(C23:G23)-1</f>
        <v>1.2379750477764295E-2</v>
      </c>
      <c r="L23" s="35"/>
    </row>
    <row r="24" spans="1:12" x14ac:dyDescent="0.35">
      <c r="A24" s="382" t="s">
        <v>39</v>
      </c>
      <c r="B24" s="383">
        <v>4348480.3450000025</v>
      </c>
      <c r="C24" s="383">
        <v>0</v>
      </c>
      <c r="D24" s="383">
        <v>3913411.0106890434</v>
      </c>
      <c r="E24" s="383">
        <v>7732855.1114326883</v>
      </c>
      <c r="F24" s="383">
        <v>0</v>
      </c>
      <c r="G24" s="383">
        <v>1123672.669</v>
      </c>
      <c r="H24" s="384">
        <f>G24/$G$28</f>
        <v>3.9114962094318001E-2</v>
      </c>
      <c r="I24" s="383">
        <v>171268.89655108922</v>
      </c>
      <c r="J24" s="385">
        <f>SUM(B24:B24,C28)/SUM(C24:G24)-1</f>
        <v>1.3411880773474216E-2</v>
      </c>
      <c r="L24" s="35"/>
    </row>
    <row r="25" spans="1:12" x14ac:dyDescent="0.35">
      <c r="A25" s="382" t="s">
        <v>38</v>
      </c>
      <c r="B25" s="383">
        <v>4722078.1175334677</v>
      </c>
      <c r="C25" s="383">
        <v>0</v>
      </c>
      <c r="D25" s="383">
        <v>0</v>
      </c>
      <c r="E25" s="383">
        <v>10729641.694910539</v>
      </c>
      <c r="F25" s="383">
        <v>3254.9723541703661</v>
      </c>
      <c r="G25" s="383">
        <v>2703132.3736402891</v>
      </c>
      <c r="H25" s="384">
        <f>G25/$G$28</f>
        <v>9.4095837024281814E-2</v>
      </c>
      <c r="I25" s="383">
        <v>183740.82248573549</v>
      </c>
      <c r="J25" s="385">
        <f>SUM(B25:B25,D28)/SUM(C25:G25)-1</f>
        <v>1.3675232609750232E-2</v>
      </c>
      <c r="L25" s="35"/>
    </row>
    <row r="26" spans="1:12" x14ac:dyDescent="0.35">
      <c r="A26" s="382" t="s">
        <v>37</v>
      </c>
      <c r="B26" s="383">
        <v>1343335.7359549995</v>
      </c>
      <c r="C26" s="383">
        <v>0</v>
      </c>
      <c r="D26" s="383">
        <v>0</v>
      </c>
      <c r="E26" s="383">
        <v>0</v>
      </c>
      <c r="F26" s="383">
        <v>15544696.884268887</v>
      </c>
      <c r="G26" s="383">
        <v>8390770.537989473</v>
      </c>
      <c r="H26" s="384">
        <f>G26/$G$28</f>
        <v>0.2920820988087755</v>
      </c>
      <c r="I26" s="383">
        <v>670319.59004342696</v>
      </c>
      <c r="J26" s="385">
        <f>SUM(B26:B26,E28)/SUM(C26:G26)-1</f>
        <v>2.8005285136820657E-2</v>
      </c>
      <c r="L26" s="35"/>
    </row>
    <row r="27" spans="1:12" ht="13.15" thickBot="1" x14ac:dyDescent="0.4">
      <c r="A27" s="386" t="s">
        <v>50</v>
      </c>
      <c r="B27" s="387">
        <v>550537.12409899989</v>
      </c>
      <c r="C27" s="387">
        <v>0</v>
      </c>
      <c r="D27" s="387">
        <v>0</v>
      </c>
      <c r="E27" s="387">
        <v>0</v>
      </c>
      <c r="F27" s="387">
        <v>0</v>
      </c>
      <c r="G27" s="387">
        <v>14380320.498080308</v>
      </c>
      <c r="H27" s="388">
        <f>G27/$G$28</f>
        <v>0.50057788776435519</v>
      </c>
      <c r="I27" s="387">
        <v>1718168.4826417435</v>
      </c>
      <c r="J27" s="389">
        <f>SUM(B27:B27,F28)/SUM(C27:G27)-1</f>
        <v>0.11948054167993782</v>
      </c>
      <c r="L27" s="35"/>
    </row>
    <row r="28" spans="1:12" ht="13.5" thickBot="1" x14ac:dyDescent="0.4">
      <c r="A28" s="342" t="s">
        <v>4</v>
      </c>
      <c r="B28" s="390">
        <f t="shared" ref="B28:I28" si="1">SUM(B23:B27)</f>
        <v>31724801.73243928</v>
      </c>
      <c r="C28" s="390">
        <f t="shared" si="1"/>
        <v>8592727.3426728174</v>
      </c>
      <c r="D28" s="390">
        <f t="shared" si="1"/>
        <v>8897691.7458572667</v>
      </c>
      <c r="E28" s="390">
        <f t="shared" si="1"/>
        <v>23262451.276346788</v>
      </c>
      <c r="F28" s="390">
        <f t="shared" si="1"/>
        <v>15547951.856623057</v>
      </c>
      <c r="G28" s="390">
        <f t="shared" si="1"/>
        <v>28727438.525710069</v>
      </c>
      <c r="H28" s="391">
        <f t="shared" si="1"/>
        <v>1</v>
      </c>
      <c r="I28" s="390">
        <f t="shared" si="1"/>
        <v>2997363.2067292063</v>
      </c>
      <c r="J28" s="392"/>
    </row>
    <row r="30" spans="1:12" s="335" customFormat="1" ht="15" x14ac:dyDescent="0.4">
      <c r="A30" s="340" t="s">
        <v>72</v>
      </c>
      <c r="B30" s="341"/>
      <c r="C30" s="341"/>
      <c r="D30" s="341"/>
      <c r="E30" s="341"/>
      <c r="F30" s="341"/>
      <c r="G30" s="341"/>
      <c r="H30" s="341"/>
      <c r="I30" s="341"/>
      <c r="J30" s="341"/>
    </row>
    <row r="31" spans="1:12" ht="13.15" thickBot="1" x14ac:dyDescent="0.4"/>
    <row r="32" spans="1:12" ht="27.75" customHeight="1" thickBot="1" x14ac:dyDescent="0.4">
      <c r="A32" s="1"/>
      <c r="B32" s="1"/>
      <c r="C32" s="545" t="s">
        <v>41</v>
      </c>
      <c r="D32" s="546"/>
      <c r="E32" s="546"/>
      <c r="F32" s="547"/>
      <c r="G32" s="1"/>
      <c r="H32" s="1"/>
      <c r="I32" s="1"/>
      <c r="J32" s="1"/>
    </row>
    <row r="33" spans="1:12" ht="26.65" thickBot="1" x14ac:dyDescent="0.4">
      <c r="A33" s="541" t="s">
        <v>51</v>
      </c>
      <c r="B33" s="542" t="s">
        <v>107</v>
      </c>
      <c r="C33" s="543" t="s">
        <v>70</v>
      </c>
      <c r="D33" s="543" t="s">
        <v>42</v>
      </c>
      <c r="E33" s="543" t="s">
        <v>43</v>
      </c>
      <c r="F33" s="543" t="s">
        <v>44</v>
      </c>
      <c r="G33" s="542" t="s">
        <v>45</v>
      </c>
      <c r="H33" s="542" t="s">
        <v>46</v>
      </c>
      <c r="I33" s="542" t="s">
        <v>9</v>
      </c>
      <c r="J33" s="544" t="s">
        <v>47</v>
      </c>
    </row>
    <row r="34" spans="1:12" x14ac:dyDescent="0.35">
      <c r="A34" s="378" t="s">
        <v>40</v>
      </c>
      <c r="B34" s="379">
        <v>18741951.717772365</v>
      </c>
      <c r="C34" s="379">
        <v>7864451.9725557566</v>
      </c>
      <c r="D34" s="379">
        <v>4404569.3685447033</v>
      </c>
      <c r="E34" s="379">
        <v>4216689.1871154392</v>
      </c>
      <c r="F34" s="379">
        <v>0</v>
      </c>
      <c r="G34" s="379">
        <v>2093072.0259999998</v>
      </c>
      <c r="H34" s="380">
        <f>G34/$G$39</f>
        <v>8.092398293055357E-2</v>
      </c>
      <c r="I34" s="379">
        <v>163169.16355647557</v>
      </c>
      <c r="J34" s="381">
        <f>SUM(B34:B34)/SUM(C34:G34)-1</f>
        <v>8.7825541356281178E-3</v>
      </c>
      <c r="L34" s="35"/>
    </row>
    <row r="35" spans="1:12" x14ac:dyDescent="0.35">
      <c r="A35" s="382" t="s">
        <v>39</v>
      </c>
      <c r="B35" s="383">
        <v>3534589.1040000007</v>
      </c>
      <c r="C35" s="383">
        <v>0</v>
      </c>
      <c r="D35" s="383">
        <v>3407693.7876368957</v>
      </c>
      <c r="E35" s="383">
        <v>6759719.2372700013</v>
      </c>
      <c r="F35" s="383">
        <v>0</v>
      </c>
      <c r="G35" s="383">
        <v>1091096.7609999999</v>
      </c>
      <c r="H35" s="384">
        <f>G35/$G$39</f>
        <v>4.2184833854707629E-2</v>
      </c>
      <c r="I35" s="383">
        <v>140531.29064885998</v>
      </c>
      <c r="J35" s="385">
        <f>SUM(B35:B35,C39)/SUM(C35:G35)-1</f>
        <v>1.2482228405110485E-2</v>
      </c>
      <c r="L35" s="35"/>
    </row>
    <row r="36" spans="1:12" x14ac:dyDescent="0.35">
      <c r="A36" s="382" t="s">
        <v>38</v>
      </c>
      <c r="B36" s="383">
        <v>3990292.9064671723</v>
      </c>
      <c r="C36" s="383">
        <v>0</v>
      </c>
      <c r="D36" s="383">
        <v>0</v>
      </c>
      <c r="E36" s="383">
        <v>9142303.7196238954</v>
      </c>
      <c r="F36" s="383">
        <v>2852.8106870905713</v>
      </c>
      <c r="G36" s="383">
        <v>2503856.3193229954</v>
      </c>
      <c r="H36" s="384">
        <f>G36/$G$39</f>
        <v>9.6806045625040887E-2</v>
      </c>
      <c r="I36" s="383">
        <v>153543.21301478974</v>
      </c>
      <c r="J36" s="385">
        <f>SUM(B36:B36,D39)/SUM(C36:G36)-1</f>
        <v>1.3180791797273494E-2</v>
      </c>
      <c r="L36" s="35"/>
    </row>
    <row r="37" spans="1:12" x14ac:dyDescent="0.35">
      <c r="A37" s="382" t="s">
        <v>37</v>
      </c>
      <c r="B37" s="383">
        <v>1253152.8649969995</v>
      </c>
      <c r="C37" s="383">
        <v>0</v>
      </c>
      <c r="D37" s="383">
        <v>0</v>
      </c>
      <c r="E37" s="383">
        <v>0</v>
      </c>
      <c r="F37" s="383">
        <v>12670475.503155399</v>
      </c>
      <c r="G37" s="383">
        <v>8182780.6982765468</v>
      </c>
      <c r="H37" s="384">
        <f>G37/$G$39</f>
        <v>0.31636904861667409</v>
      </c>
      <c r="I37" s="383">
        <v>518608.80757438764</v>
      </c>
      <c r="J37" s="385">
        <f>SUM(B37:B37,E39)/SUM(C37:G37)-1</f>
        <v>2.4869440175907753E-2</v>
      </c>
      <c r="L37" s="35"/>
    </row>
    <row r="38" spans="1:12" ht="13.15" thickBot="1" x14ac:dyDescent="0.4">
      <c r="A38" s="386" t="s">
        <v>50</v>
      </c>
      <c r="B38" s="387">
        <v>617091.13574900024</v>
      </c>
      <c r="C38" s="387">
        <v>0</v>
      </c>
      <c r="D38" s="387">
        <v>0</v>
      </c>
      <c r="E38" s="387">
        <v>0</v>
      </c>
      <c r="F38" s="387">
        <v>0</v>
      </c>
      <c r="G38" s="387">
        <v>11993863.113095831</v>
      </c>
      <c r="H38" s="388">
        <f>G38/$G$39</f>
        <v>0.4637160889730238</v>
      </c>
      <c r="I38" s="387">
        <v>1296556.3364956544</v>
      </c>
      <c r="J38" s="389">
        <f>SUM(B38:B38,F39)/SUM(C38:G38)-1</f>
        <v>0.10810164533893829</v>
      </c>
      <c r="L38" s="35"/>
    </row>
    <row r="39" spans="1:12" ht="13.5" thickBot="1" x14ac:dyDescent="0.4">
      <c r="A39" s="342" t="s">
        <v>4</v>
      </c>
      <c r="B39" s="390">
        <f t="shared" ref="B39:I39" si="2">SUM(B34:B38)</f>
        <v>28137077.728985541</v>
      </c>
      <c r="C39" s="390">
        <f t="shared" si="2"/>
        <v>7864451.9725557566</v>
      </c>
      <c r="D39" s="390">
        <f t="shared" si="2"/>
        <v>7812263.156181599</v>
      </c>
      <c r="E39" s="390">
        <f t="shared" si="2"/>
        <v>20118712.144009337</v>
      </c>
      <c r="F39" s="390">
        <f t="shared" si="2"/>
        <v>12673328.31384249</v>
      </c>
      <c r="G39" s="390">
        <f t="shared" si="2"/>
        <v>25864668.917695373</v>
      </c>
      <c r="H39" s="391">
        <f t="shared" si="2"/>
        <v>1</v>
      </c>
      <c r="I39" s="390">
        <f t="shared" si="2"/>
        <v>2272408.8112901673</v>
      </c>
      <c r="J39" s="392"/>
    </row>
    <row r="41" spans="1:12" s="335" customFormat="1" ht="15" x14ac:dyDescent="0.4">
      <c r="A41" s="340" t="s">
        <v>73</v>
      </c>
      <c r="B41" s="341"/>
      <c r="C41" s="341"/>
      <c r="D41" s="341"/>
      <c r="E41" s="341"/>
      <c r="F41" s="341"/>
      <c r="G41" s="341"/>
      <c r="H41" s="341"/>
      <c r="I41" s="341"/>
      <c r="J41" s="341"/>
    </row>
    <row r="42" spans="1:12" ht="13.15" thickBot="1" x14ac:dyDescent="0.4"/>
    <row r="43" spans="1:12" ht="27.75" customHeight="1" thickBot="1" x14ac:dyDescent="0.4">
      <c r="A43" s="1"/>
      <c r="B43" s="1"/>
      <c r="C43" s="545" t="s">
        <v>41</v>
      </c>
      <c r="D43" s="546"/>
      <c r="E43" s="546"/>
      <c r="F43" s="547"/>
      <c r="G43" s="1"/>
      <c r="H43" s="1"/>
      <c r="I43" s="1"/>
      <c r="J43" s="1"/>
    </row>
    <row r="44" spans="1:12" ht="26.65" thickBot="1" x14ac:dyDescent="0.4">
      <c r="A44" s="541" t="s">
        <v>51</v>
      </c>
      <c r="B44" s="542" t="s">
        <v>107</v>
      </c>
      <c r="C44" s="543" t="s">
        <v>70</v>
      </c>
      <c r="D44" s="543" t="s">
        <v>42</v>
      </c>
      <c r="E44" s="543" t="s">
        <v>43</v>
      </c>
      <c r="F44" s="543" t="s">
        <v>44</v>
      </c>
      <c r="G44" s="542" t="s">
        <v>45</v>
      </c>
      <c r="H44" s="542" t="s">
        <v>46</v>
      </c>
      <c r="I44" s="542" t="s">
        <v>9</v>
      </c>
      <c r="J44" s="544" t="s">
        <v>47</v>
      </c>
    </row>
    <row r="45" spans="1:12" x14ac:dyDescent="0.35">
      <c r="A45" s="378" t="s">
        <v>40</v>
      </c>
      <c r="B45" s="379">
        <v>20608064.816028237</v>
      </c>
      <c r="C45" s="379">
        <v>8607173.2228954714</v>
      </c>
      <c r="D45" s="379">
        <v>4811143.6508265249</v>
      </c>
      <c r="E45" s="379">
        <v>4588152.5553062437</v>
      </c>
      <c r="F45" s="379">
        <v>0</v>
      </c>
      <c r="G45" s="379">
        <v>2428918.6109999996</v>
      </c>
      <c r="H45" s="380">
        <f>G45/$G$50</f>
        <v>8.4584343343881527E-2</v>
      </c>
      <c r="I45" s="379">
        <v>172676.77600000123</v>
      </c>
      <c r="J45" s="381">
        <f>SUM(B45:B45)/SUM(C45:G45)-1</f>
        <v>8.4498897530973505E-3</v>
      </c>
      <c r="L45" s="35"/>
    </row>
    <row r="46" spans="1:12" x14ac:dyDescent="0.35">
      <c r="A46" s="382" t="s">
        <v>39</v>
      </c>
      <c r="B46" s="383">
        <v>3884023.2189999991</v>
      </c>
      <c r="C46" s="383">
        <v>0</v>
      </c>
      <c r="D46" s="383">
        <v>3735021.724929478</v>
      </c>
      <c r="E46" s="383">
        <v>7358838.0468137143</v>
      </c>
      <c r="F46" s="383">
        <v>0</v>
      </c>
      <c r="G46" s="383">
        <v>1238383.4909999999</v>
      </c>
      <c r="H46" s="384">
        <f>G46/$G$50</f>
        <v>4.3125304371978659E-2</v>
      </c>
      <c r="I46" s="383">
        <v>158953.17915227881</v>
      </c>
      <c r="J46" s="385">
        <f>SUM(B46:B46,C50)/SUM(C46:G46)-1</f>
        <v>1.2889234810384176E-2</v>
      </c>
      <c r="L46" s="35"/>
    </row>
    <row r="47" spans="1:12" x14ac:dyDescent="0.35">
      <c r="A47" s="382" t="s">
        <v>38</v>
      </c>
      <c r="B47" s="383">
        <v>4416206.864937434</v>
      </c>
      <c r="C47" s="383">
        <v>0</v>
      </c>
      <c r="D47" s="383">
        <v>0</v>
      </c>
      <c r="E47" s="383">
        <v>9957426.1396151055</v>
      </c>
      <c r="F47" s="383">
        <v>3096.5013497178284</v>
      </c>
      <c r="G47" s="383">
        <v>2829305.7849488407</v>
      </c>
      <c r="H47" s="384">
        <f>G47/$G$50</f>
        <v>9.852737380953891E-2</v>
      </c>
      <c r="I47" s="383">
        <v>172543.81477977082</v>
      </c>
      <c r="J47" s="385">
        <f>SUM(B47:B47,D50)/SUM(C47:G47)-1</f>
        <v>1.349070597617863E-2</v>
      </c>
      <c r="L47" s="35"/>
    </row>
    <row r="48" spans="1:12" x14ac:dyDescent="0.35">
      <c r="A48" s="382" t="s">
        <v>37</v>
      </c>
      <c r="B48" s="383">
        <v>1478528.7740280009</v>
      </c>
      <c r="C48" s="383">
        <v>0</v>
      </c>
      <c r="D48" s="383">
        <v>0</v>
      </c>
      <c r="E48" s="383">
        <v>0</v>
      </c>
      <c r="F48" s="383">
        <v>13812825.293792447</v>
      </c>
      <c r="G48" s="383">
        <v>9014714.7051830571</v>
      </c>
      <c r="H48" s="384">
        <f>G48/$G$50</f>
        <v>0.31392724330784155</v>
      </c>
      <c r="I48" s="383">
        <v>555405.51678755507</v>
      </c>
      <c r="J48" s="385">
        <f>SUM(B48:B48,E50)/SUM(C48:G48)-1</f>
        <v>2.4330502402470255E-2</v>
      </c>
      <c r="L48" s="35"/>
    </row>
    <row r="49" spans="1:12" ht="13.15" thickBot="1" x14ac:dyDescent="0.4">
      <c r="A49" s="386" t="s">
        <v>50</v>
      </c>
      <c r="B49" s="387">
        <v>753994.01100000006</v>
      </c>
      <c r="C49" s="387">
        <v>0</v>
      </c>
      <c r="D49" s="387">
        <v>0</v>
      </c>
      <c r="E49" s="387">
        <v>0</v>
      </c>
      <c r="F49" s="387">
        <v>0</v>
      </c>
      <c r="G49" s="387">
        <v>13204613.655373383</v>
      </c>
      <c r="H49" s="388">
        <f>G49/$G$50</f>
        <v>0.45983573516675935</v>
      </c>
      <c r="I49" s="387">
        <v>1365302.1507687788</v>
      </c>
      <c r="J49" s="389">
        <f>SUM(B49:B49,F50)/SUM(C49:G49)-1</f>
        <v>0.10339584227162879</v>
      </c>
      <c r="L49" s="35"/>
    </row>
    <row r="50" spans="1:12" ht="13.5" thickBot="1" x14ac:dyDescent="0.4">
      <c r="A50" s="342" t="s">
        <v>4</v>
      </c>
      <c r="B50" s="390">
        <f t="shared" ref="B50:I50" si="3">SUM(B45:B49)</f>
        <v>31140817.684993673</v>
      </c>
      <c r="C50" s="390">
        <f t="shared" si="3"/>
        <v>8607173.2228954714</v>
      </c>
      <c r="D50" s="390">
        <f t="shared" si="3"/>
        <v>8546165.375756003</v>
      </c>
      <c r="E50" s="390">
        <f t="shared" si="3"/>
        <v>21904416.741735063</v>
      </c>
      <c r="F50" s="390">
        <f t="shared" si="3"/>
        <v>13815921.795142164</v>
      </c>
      <c r="G50" s="390">
        <f t="shared" si="3"/>
        <v>28715936.247505281</v>
      </c>
      <c r="H50" s="391">
        <f t="shared" si="3"/>
        <v>1</v>
      </c>
      <c r="I50" s="390">
        <f t="shared" si="3"/>
        <v>2424881.4374883845</v>
      </c>
      <c r="J50" s="392"/>
    </row>
    <row r="52" spans="1:12" s="335" customFormat="1" ht="15" x14ac:dyDescent="0.4">
      <c r="A52" s="340" t="s">
        <v>74</v>
      </c>
      <c r="B52" s="341"/>
      <c r="C52" s="341"/>
      <c r="D52" s="341"/>
      <c r="E52" s="341"/>
      <c r="F52" s="341"/>
      <c r="G52" s="341"/>
      <c r="H52" s="341"/>
      <c r="I52" s="341"/>
      <c r="J52" s="341"/>
    </row>
    <row r="53" spans="1:12" ht="13.15" thickBot="1" x14ac:dyDescent="0.4"/>
    <row r="54" spans="1:12" ht="27.75" customHeight="1" thickBot="1" x14ac:dyDescent="0.4">
      <c r="A54" s="1"/>
      <c r="B54" s="1"/>
      <c r="C54" s="545" t="s">
        <v>41</v>
      </c>
      <c r="D54" s="546"/>
      <c r="E54" s="546"/>
      <c r="F54" s="547"/>
      <c r="G54" s="1"/>
      <c r="H54" s="1"/>
      <c r="I54" s="1"/>
      <c r="J54" s="1"/>
    </row>
    <row r="55" spans="1:12" ht="26.65" thickBot="1" x14ac:dyDescent="0.4">
      <c r="A55" s="541" t="s">
        <v>51</v>
      </c>
      <c r="B55" s="542" t="s">
        <v>107</v>
      </c>
      <c r="C55" s="543" t="s">
        <v>70</v>
      </c>
      <c r="D55" s="543" t="s">
        <v>42</v>
      </c>
      <c r="E55" s="543" t="s">
        <v>43</v>
      </c>
      <c r="F55" s="543" t="s">
        <v>44</v>
      </c>
      <c r="G55" s="542" t="s">
        <v>45</v>
      </c>
      <c r="H55" s="542" t="s">
        <v>46</v>
      </c>
      <c r="I55" s="542" t="s">
        <v>9</v>
      </c>
      <c r="J55" s="544" t="s">
        <v>47</v>
      </c>
    </row>
    <row r="56" spans="1:12" x14ac:dyDescent="0.35">
      <c r="A56" s="378" t="s">
        <v>40</v>
      </c>
      <c r="B56" s="379">
        <v>8100666.52257377</v>
      </c>
      <c r="C56" s="379">
        <v>3326610.7288688803</v>
      </c>
      <c r="D56" s="379">
        <v>1851032.8833388833</v>
      </c>
      <c r="E56" s="379">
        <v>1788431.2173660058</v>
      </c>
      <c r="F56" s="379">
        <v>0</v>
      </c>
      <c r="G56" s="379">
        <v>1062402.8830000001</v>
      </c>
      <c r="H56" s="380">
        <f>G56/$G$61</f>
        <v>9.156763802928676E-2</v>
      </c>
      <c r="I56" s="379">
        <v>72188.810000000783</v>
      </c>
      <c r="J56" s="381">
        <f>SUM(B56:B56)/SUM(C56:G56)-1</f>
        <v>8.9915937472109242E-3</v>
      </c>
      <c r="L56" s="35"/>
    </row>
    <row r="57" spans="1:12" x14ac:dyDescent="0.35">
      <c r="A57" s="382" t="s">
        <v>39</v>
      </c>
      <c r="B57" s="383">
        <v>1600976.177000002</v>
      </c>
      <c r="C57" s="383">
        <v>0</v>
      </c>
      <c r="D57" s="383">
        <v>1479526.0711732584</v>
      </c>
      <c r="E57" s="383">
        <v>2866079.5692531774</v>
      </c>
      <c r="F57" s="383">
        <v>0</v>
      </c>
      <c r="G57" s="383">
        <v>520077.6160000001</v>
      </c>
      <c r="H57" s="384">
        <f>G57/$G$61</f>
        <v>4.4825065566978885E-2</v>
      </c>
      <c r="I57" s="383">
        <v>61903.649442446411</v>
      </c>
      <c r="J57" s="385">
        <f>SUM(B57:B57,C61)/SUM(C57:G57)-1</f>
        <v>1.2722498810559868E-2</v>
      </c>
      <c r="L57" s="35"/>
    </row>
    <row r="58" spans="1:12" x14ac:dyDescent="0.35">
      <c r="A58" s="382" t="s">
        <v>38</v>
      </c>
      <c r="B58" s="383">
        <v>1909921.5291377096</v>
      </c>
      <c r="C58" s="383">
        <v>0</v>
      </c>
      <c r="D58" s="383">
        <v>0</v>
      </c>
      <c r="E58" s="383">
        <v>3974972.1698316066</v>
      </c>
      <c r="F58" s="383">
        <v>1199.5922339315518</v>
      </c>
      <c r="G58" s="383">
        <v>1197370.4275756748</v>
      </c>
      <c r="H58" s="384">
        <f>G58/$G$61</f>
        <v>0.10320038062172851</v>
      </c>
      <c r="I58" s="383">
        <v>66938.29400863839</v>
      </c>
      <c r="J58" s="385">
        <f>SUM(B58:B58,D61)/SUM(C58:G58)-1</f>
        <v>1.2938580870697658E-2</v>
      </c>
      <c r="L58" s="35"/>
    </row>
    <row r="59" spans="1:12" x14ac:dyDescent="0.35">
      <c r="A59" s="382" t="s">
        <v>37</v>
      </c>
      <c r="B59" s="383">
        <v>653388.15596699982</v>
      </c>
      <c r="C59" s="383">
        <v>0</v>
      </c>
      <c r="D59" s="383">
        <v>0</v>
      </c>
      <c r="E59" s="383">
        <v>0</v>
      </c>
      <c r="F59" s="383">
        <v>5470424.693649428</v>
      </c>
      <c r="G59" s="383">
        <v>3588478.3043022174</v>
      </c>
      <c r="H59" s="384">
        <f>G59/$G$61</f>
        <v>0.30928801841767417</v>
      </c>
      <c r="I59" s="383">
        <v>223968.11446614406</v>
      </c>
      <c r="J59" s="385">
        <f>SUM(B59:B59,E61)/SUM(C59:G59)-1</f>
        <v>2.4723536008365077E-2</v>
      </c>
      <c r="L59" s="35"/>
    </row>
    <row r="60" spans="1:12" ht="13.15" thickBot="1" x14ac:dyDescent="0.4">
      <c r="A60" s="386" t="s">
        <v>50</v>
      </c>
      <c r="B60" s="387">
        <v>320801.48699999996</v>
      </c>
      <c r="C60" s="387">
        <v>0</v>
      </c>
      <c r="D60" s="387">
        <v>0</v>
      </c>
      <c r="E60" s="387">
        <v>0</v>
      </c>
      <c r="F60" s="387">
        <v>0</v>
      </c>
      <c r="G60" s="387">
        <v>5234054.6010628613</v>
      </c>
      <c r="H60" s="388">
        <f>G60/$G$61</f>
        <v>0.45111889736433153</v>
      </c>
      <c r="I60" s="387">
        <v>558371.17182049749</v>
      </c>
      <c r="J60" s="389">
        <f>SUM(B60:B60,F61)/SUM(C60:G60)-1</f>
        <v>0.10668042547876966</v>
      </c>
      <c r="L60" s="35"/>
    </row>
    <row r="61" spans="1:12" ht="13.5" thickBot="1" x14ac:dyDescent="0.4">
      <c r="A61" s="342" t="s">
        <v>4</v>
      </c>
      <c r="B61" s="390">
        <f t="shared" ref="B61:I61" si="4">SUM(B56:B60)</f>
        <v>12585753.871678481</v>
      </c>
      <c r="C61" s="390">
        <f t="shared" si="4"/>
        <v>3326610.7288688803</v>
      </c>
      <c r="D61" s="390">
        <f t="shared" si="4"/>
        <v>3330558.9545121416</v>
      </c>
      <c r="E61" s="390">
        <f t="shared" si="4"/>
        <v>8629482.9564507902</v>
      </c>
      <c r="F61" s="390">
        <f t="shared" si="4"/>
        <v>5471624.2858833596</v>
      </c>
      <c r="G61" s="390">
        <f t="shared" si="4"/>
        <v>11602383.831940755</v>
      </c>
      <c r="H61" s="391">
        <f t="shared" si="4"/>
        <v>0.99999999999999989</v>
      </c>
      <c r="I61" s="390">
        <f t="shared" si="4"/>
        <v>983370.03973772714</v>
      </c>
      <c r="J61" s="392"/>
    </row>
    <row r="63" spans="1:12" s="335" customFormat="1" ht="15" x14ac:dyDescent="0.4">
      <c r="A63" s="340" t="s">
        <v>75</v>
      </c>
      <c r="B63" s="341"/>
      <c r="C63" s="341"/>
      <c r="D63" s="341"/>
      <c r="E63" s="341"/>
      <c r="F63" s="341"/>
      <c r="G63" s="341"/>
      <c r="H63" s="341"/>
      <c r="I63" s="341"/>
      <c r="J63" s="341"/>
    </row>
    <row r="64" spans="1:12" ht="13.15" thickBot="1" x14ac:dyDescent="0.4"/>
    <row r="65" spans="1:12" ht="27.75" customHeight="1" thickBot="1" x14ac:dyDescent="0.4">
      <c r="A65" s="1"/>
      <c r="B65" s="1"/>
      <c r="C65" s="545" t="s">
        <v>41</v>
      </c>
      <c r="D65" s="546"/>
      <c r="E65" s="546"/>
      <c r="F65" s="547"/>
      <c r="G65" s="1"/>
      <c r="H65" s="1"/>
      <c r="I65" s="1"/>
      <c r="J65" s="1"/>
    </row>
    <row r="66" spans="1:12" ht="26.65" thickBot="1" x14ac:dyDescent="0.4">
      <c r="A66" s="541" t="s">
        <v>51</v>
      </c>
      <c r="B66" s="542" t="s">
        <v>107</v>
      </c>
      <c r="C66" s="543" t="s">
        <v>70</v>
      </c>
      <c r="D66" s="543" t="s">
        <v>42</v>
      </c>
      <c r="E66" s="543" t="s">
        <v>43</v>
      </c>
      <c r="F66" s="543" t="s">
        <v>44</v>
      </c>
      <c r="G66" s="542" t="s">
        <v>45</v>
      </c>
      <c r="H66" s="542" t="s">
        <v>46</v>
      </c>
      <c r="I66" s="542" t="s">
        <v>9</v>
      </c>
      <c r="J66" s="544" t="s">
        <v>47</v>
      </c>
    </row>
    <row r="67" spans="1:12" x14ac:dyDescent="0.35">
      <c r="A67" s="378" t="s">
        <v>40</v>
      </c>
      <c r="B67" s="379">
        <v>76422575.458723396</v>
      </c>
      <c r="C67" s="379">
        <v>30864801.336710282</v>
      </c>
      <c r="D67" s="379">
        <v>16736876.066025436</v>
      </c>
      <c r="E67" s="379">
        <v>16239976.245658752</v>
      </c>
      <c r="F67" s="379">
        <v>0</v>
      </c>
      <c r="G67" s="379">
        <v>11736790.258999998</v>
      </c>
      <c r="H67" s="380">
        <f>G67/$G$72</f>
        <v>0.10958545839118952</v>
      </c>
      <c r="I67" s="379">
        <v>844131.55132894055</v>
      </c>
      <c r="J67" s="381">
        <f>SUM(B67:B67)/SUM(C67:G67)-1</f>
        <v>1.1168945901601779E-2</v>
      </c>
      <c r="L67" s="35"/>
    </row>
    <row r="68" spans="1:12" x14ac:dyDescent="0.35">
      <c r="A68" s="382" t="s">
        <v>39</v>
      </c>
      <c r="B68" s="383">
        <v>16921553.723000027</v>
      </c>
      <c r="C68" s="383">
        <v>0</v>
      </c>
      <c r="D68" s="383">
        <v>14174346.076706532</v>
      </c>
      <c r="E68" s="383">
        <v>27264597.493336182</v>
      </c>
      <c r="F68" s="383">
        <v>0</v>
      </c>
      <c r="G68" s="383">
        <v>5794740.1329999994</v>
      </c>
      <c r="H68" s="384">
        <f>G68/$G$72</f>
        <v>5.4105018469226072E-2</v>
      </c>
      <c r="I68" s="383">
        <v>552671.35666758288</v>
      </c>
      <c r="J68" s="385">
        <f>SUM(B68:B68,C72)/SUM(C68:G68)-1</f>
        <v>1.1700788787557315E-2</v>
      </c>
      <c r="L68" s="35"/>
    </row>
    <row r="69" spans="1:12" x14ac:dyDescent="0.35">
      <c r="A69" s="382" t="s">
        <v>38</v>
      </c>
      <c r="B69" s="383">
        <v>18612711.949336104</v>
      </c>
      <c r="C69" s="383">
        <v>0</v>
      </c>
      <c r="D69" s="383">
        <v>0</v>
      </c>
      <c r="E69" s="383">
        <v>37589693.110808291</v>
      </c>
      <c r="F69" s="383">
        <v>11020.649008577517</v>
      </c>
      <c r="G69" s="383">
        <v>11338363.709993921</v>
      </c>
      <c r="H69" s="384">
        <f>G69/$G$72</f>
        <v>0.10586538202920717</v>
      </c>
      <c r="I69" s="383">
        <v>584856.62225727725</v>
      </c>
      <c r="J69" s="385">
        <f>SUM(B69:B69,D72)/SUM(C69:G69)-1</f>
        <v>1.1950707951494666E-2</v>
      </c>
      <c r="L69" s="35"/>
    </row>
    <row r="70" spans="1:12" x14ac:dyDescent="0.35">
      <c r="A70" s="382" t="s">
        <v>37</v>
      </c>
      <c r="B70" s="383">
        <v>4815157.5110619944</v>
      </c>
      <c r="C70" s="383">
        <v>0</v>
      </c>
      <c r="D70" s="383">
        <v>0</v>
      </c>
      <c r="E70" s="383">
        <v>0</v>
      </c>
      <c r="F70" s="383">
        <v>52621060.852848843</v>
      </c>
      <c r="G70" s="383">
        <v>30686902.986593045</v>
      </c>
      <c r="H70" s="384">
        <f>G70/$G$72</f>
        <v>0.28652112342325214</v>
      </c>
      <c r="I70" s="383">
        <v>2601460.521423338</v>
      </c>
      <c r="J70" s="385">
        <f>SUM(B70:B70,E72)/SUM(C70:G70)-1</f>
        <v>3.1227032825301926E-2</v>
      </c>
      <c r="L70" s="35"/>
    </row>
    <row r="71" spans="1:12" ht="13.15" thickBot="1" x14ac:dyDescent="0.4">
      <c r="A71" s="386" t="s">
        <v>50</v>
      </c>
      <c r="B71" s="387">
        <v>1129600.8908749989</v>
      </c>
      <c r="C71" s="387">
        <v>0</v>
      </c>
      <c r="D71" s="387">
        <v>0</v>
      </c>
      <c r="E71" s="387">
        <v>0</v>
      </c>
      <c r="F71" s="387">
        <v>0</v>
      </c>
      <c r="G71" s="387">
        <v>47544915.413293801</v>
      </c>
      <c r="H71" s="388">
        <f>G71/$G$72</f>
        <v>0.44392301768712511</v>
      </c>
      <c r="I71" s="387">
        <v>6216766.9794386104</v>
      </c>
      <c r="J71" s="389">
        <f>SUM(B71:B71,F72)/SUM(C71:G71)-1</f>
        <v>0.13075566388956861</v>
      </c>
      <c r="L71" s="35"/>
    </row>
    <row r="72" spans="1:12" ht="13.5" thickBot="1" x14ac:dyDescent="0.4">
      <c r="A72" s="342" t="s">
        <v>4</v>
      </c>
      <c r="B72" s="390">
        <f t="shared" ref="B72:I72" si="5">SUM(B67:B71)</f>
        <v>117901599.53299652</v>
      </c>
      <c r="C72" s="390">
        <f t="shared" si="5"/>
        <v>30864801.336710282</v>
      </c>
      <c r="D72" s="390">
        <f t="shared" si="5"/>
        <v>30911222.142731968</v>
      </c>
      <c r="E72" s="390">
        <f t="shared" si="5"/>
        <v>81094266.849803224</v>
      </c>
      <c r="F72" s="390">
        <f t="shared" si="5"/>
        <v>52632081.501857422</v>
      </c>
      <c r="G72" s="390">
        <f t="shared" si="5"/>
        <v>107101712.50188076</v>
      </c>
      <c r="H72" s="391">
        <f t="shared" si="5"/>
        <v>1</v>
      </c>
      <c r="I72" s="390">
        <f t="shared" si="5"/>
        <v>10799887.031115748</v>
      </c>
      <c r="J72" s="39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I23"/>
  <sheetViews>
    <sheetView showGridLines="0" workbookViewId="0">
      <selection activeCell="A8" sqref="A8:I8"/>
    </sheetView>
  </sheetViews>
  <sheetFormatPr baseColWidth="10" defaultRowHeight="12.75" x14ac:dyDescent="0.35"/>
  <cols>
    <col min="1" max="1" width="14.19921875" customWidth="1"/>
    <col min="2" max="2" width="11.46484375" customWidth="1"/>
    <col min="3" max="3" width="13.464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" customHeight="1" x14ac:dyDescent="0.35">
      <c r="A6" s="593" t="s">
        <v>185</v>
      </c>
      <c r="B6" s="593"/>
      <c r="C6" s="593"/>
      <c r="D6" s="593"/>
      <c r="E6" s="593"/>
      <c r="F6" s="593"/>
      <c r="G6" s="593"/>
      <c r="H6" s="593"/>
      <c r="I6" s="593"/>
    </row>
    <row r="7" spans="1:9" ht="13.15" thickBot="1" x14ac:dyDescent="0.4"/>
    <row r="8" spans="1:9" ht="25.5" x14ac:dyDescent="0.35">
      <c r="A8" s="508" t="s">
        <v>53</v>
      </c>
      <c r="B8" s="510" t="s">
        <v>69</v>
      </c>
      <c r="C8" s="509" t="s">
        <v>52</v>
      </c>
      <c r="D8" s="510" t="s">
        <v>15</v>
      </c>
      <c r="E8" s="510" t="s">
        <v>16</v>
      </c>
      <c r="F8" s="510" t="s">
        <v>17</v>
      </c>
      <c r="G8" s="510" t="s">
        <v>18</v>
      </c>
      <c r="H8" s="510" t="s">
        <v>19</v>
      </c>
      <c r="I8" s="511" t="s">
        <v>20</v>
      </c>
    </row>
    <row r="9" spans="1:9" ht="18" x14ac:dyDescent="0.35">
      <c r="A9" s="52" t="s">
        <v>10</v>
      </c>
      <c r="B9" s="57" t="s">
        <v>10</v>
      </c>
      <c r="C9" s="53" t="s">
        <v>54</v>
      </c>
      <c r="D9" s="61">
        <v>1</v>
      </c>
      <c r="E9" s="61">
        <v>1</v>
      </c>
      <c r="F9" s="61">
        <v>1</v>
      </c>
      <c r="G9" s="61">
        <v>1</v>
      </c>
      <c r="H9" s="61">
        <v>1</v>
      </c>
      <c r="I9" s="67">
        <v>1</v>
      </c>
    </row>
    <row r="10" spans="1:9" ht="18" x14ac:dyDescent="0.35">
      <c r="A10" s="589" t="s">
        <v>11</v>
      </c>
      <c r="B10" s="58" t="s">
        <v>11</v>
      </c>
      <c r="C10" s="54" t="s">
        <v>55</v>
      </c>
      <c r="D10" s="62">
        <f>'IIa. Balances de Potencia'!$G$15/('IIa. Balances de Potencia'!$F$15+'IIa. Balances de Potencia'!$G$15)</f>
        <v>0.28063643491169449</v>
      </c>
      <c r="E10" s="62">
        <f>'IIa. Balances de Potencia'!$G$26/('IIa. Balances de Potencia'!$F$26+'IIa. Balances de Potencia'!$G$26)</f>
        <v>0.27540088499896276</v>
      </c>
      <c r="F10" s="62">
        <f>'IIa. Balances de Potencia'!$G$37/('IIa. Balances de Potencia'!$F$37+'IIa. Balances de Potencia'!$G$37)</f>
        <v>0.40571359141409913</v>
      </c>
      <c r="G10" s="62">
        <f>'IIa. Balances de Potencia'!$G$48/('IIa. Balances de Potencia'!$F$48+'IIa. Balances de Potencia'!$G$48)</f>
        <v>0.40185838974060434</v>
      </c>
      <c r="H10" s="62">
        <f>'IIa. Balances de Potencia'!$G$59/('IIa. Balances de Potencia'!$F$59+'IIa. Balances de Potencia'!$G$59)</f>
        <v>0.36521415241705413</v>
      </c>
      <c r="I10" s="68">
        <f>'IIa. Balances de Potencia'!$G$70/('IIa. Balances de Potencia'!$F$70+'IIa. Balances de Potencia'!$G$70)</f>
        <v>0.19398436339159919</v>
      </c>
    </row>
    <row r="11" spans="1:9" ht="18" x14ac:dyDescent="0.35">
      <c r="A11" s="590"/>
      <c r="B11" s="59" t="s">
        <v>10</v>
      </c>
      <c r="C11" s="55" t="s">
        <v>56</v>
      </c>
      <c r="D11" s="63">
        <f>'IIa. Balances de Potencia'!$F$15/('IIa. Balances de Potencia'!$F$15+'IIa. Balances de Potencia'!$G$15)</f>
        <v>0.71936356508830546</v>
      </c>
      <c r="E11" s="63">
        <f>'IIa. Balances de Potencia'!$F$26/('IIa. Balances de Potencia'!$F$26+'IIa. Balances de Potencia'!$G$26)</f>
        <v>0.72459911500103713</v>
      </c>
      <c r="F11" s="63">
        <f>'IIa. Balances de Potencia'!$F$37/('IIa. Balances de Potencia'!$F$37+'IIa. Balances de Potencia'!$G$37)</f>
        <v>0.59428640858590087</v>
      </c>
      <c r="G11" s="63">
        <f>'IIa. Balances de Potencia'!$F$48/('IIa. Balances de Potencia'!$F$48+'IIa. Balances de Potencia'!$G$48)</f>
        <v>0.59814161025939561</v>
      </c>
      <c r="H11" s="63">
        <f>'IIa. Balances de Potencia'!$F$59/('IIa. Balances de Potencia'!$F$59+'IIa. Balances de Potencia'!$G$59)</f>
        <v>0.63478584758294576</v>
      </c>
      <c r="I11" s="69">
        <f>'IIa. Balances de Potencia'!$F$70/('IIa. Balances de Potencia'!$F$70+'IIa. Balances de Potencia'!$G$70)</f>
        <v>0.80601563660840081</v>
      </c>
    </row>
    <row r="12" spans="1:9" ht="17.25" x14ac:dyDescent="0.35">
      <c r="A12" s="589" t="s">
        <v>12</v>
      </c>
      <c r="B12" s="58" t="s">
        <v>12</v>
      </c>
      <c r="C12" s="54" t="s">
        <v>57</v>
      </c>
      <c r="D12" s="62">
        <f>'IIa. Balances de Potencia'!$G$14/SUM('IIa. Balances de Potencia'!$E$14:$G$14)</f>
        <v>0.1546045743690399</v>
      </c>
      <c r="E12" s="62">
        <f>'IIa. Balances de Potencia'!$G$25/SUM('IIa. Balances de Potencia'!$E$25:$G$25)</f>
        <v>0.15525738539324563</v>
      </c>
      <c r="F12" s="62">
        <f>'IIa. Balances de Potencia'!$G$36/SUM('IIa. Balances de Potencia'!$E$36:$G$36)</f>
        <v>0.20560664142325938</v>
      </c>
      <c r="G12" s="62">
        <f>'IIa. Balances de Potencia'!$G$47/SUM('IIa. Balances de Potencia'!$E$47:$G$47)</f>
        <v>0.20756789292929562</v>
      </c>
      <c r="H12" s="62">
        <f>'IIa. Balances de Potencia'!$G$58/SUM('IIa. Balances de Potencia'!$E$58:$G$58)</f>
        <v>0.20339795503674968</v>
      </c>
      <c r="I12" s="68">
        <f>'IIa. Balances de Potencia'!$G$69/SUM('IIa. Balances de Potencia'!$E$69:$G$69)</f>
        <v>0.13547266632516536</v>
      </c>
    </row>
    <row r="13" spans="1:9" ht="17.25" x14ac:dyDescent="0.35">
      <c r="A13" s="591"/>
      <c r="B13" s="58" t="s">
        <v>11</v>
      </c>
      <c r="C13" s="54" t="s">
        <v>58</v>
      </c>
      <c r="D13" s="62">
        <f>'IIa. Balances de Potencia'!$E$14/SUM('IIa. Balances de Potencia'!$E$14:$G$14)*D10</f>
        <v>0.23717534533539339</v>
      </c>
      <c r="E13" s="62">
        <f>'IIa. Balances de Potencia'!$E$25/SUM('IIa. Balances de Potencia'!$E$25:$G$25)*E10</f>
        <v>0.23257160074174232</v>
      </c>
      <c r="F13" s="62">
        <f>'IIa. Balances de Potencia'!$E$36/SUM('IIa. Balances de Potencia'!$E$36:$G$36)*F10</f>
        <v>0.32219232354599281</v>
      </c>
      <c r="G13" s="62">
        <f>'IIa. Balances de Potencia'!$E$47/SUM('IIa. Balances de Potencia'!$E$47:$G$47)*G10</f>
        <v>0.31834232421484837</v>
      </c>
      <c r="H13" s="62">
        <f>'IIa. Balances de Potencia'!$E$58/SUM('IIa. Balances de Potencia'!$E$58:$G$58)*H10</f>
        <v>0.29084266369521439</v>
      </c>
      <c r="I13" s="68">
        <f>'IIa. Balances de Potencia'!$E$69/SUM('IIa. Balances de Potencia'!$E$69:$G$69)*I10</f>
        <v>0.16765631996232247</v>
      </c>
    </row>
    <row r="14" spans="1:9" ht="17.25" x14ac:dyDescent="0.35">
      <c r="A14" s="590"/>
      <c r="B14" s="59" t="s">
        <v>10</v>
      </c>
      <c r="C14" s="55" t="s">
        <v>59</v>
      </c>
      <c r="D14" s="63">
        <f>'IIa. Balances de Potencia'!$F$14/SUM('IIa. Balances de Potencia'!$E$14:$G$14)+'IIa. Balances de Potencia'!$E$14/SUM('IIa. Balances de Potencia'!$E$14:$G$14)*D11</f>
        <v>0.60822008029556662</v>
      </c>
      <c r="E14" s="63">
        <f>'IIa. Balances de Potencia'!$F$25/SUM('IIa. Balances de Potencia'!$E$25:$G$25)+'IIa. Balances de Potencia'!$E$25/SUM('IIa. Balances de Potencia'!$E$25:$G$25)*E11</f>
        <v>0.61217101386501183</v>
      </c>
      <c r="F14" s="63">
        <f>'IIa. Balances de Potencia'!$F$36/SUM('IIa. Balances de Potencia'!$E$36:$G$36)+'IIa. Balances de Potencia'!$E$36/SUM('IIa. Balances de Potencia'!$E$36:$G$36)*F11</f>
        <v>0.47220103503074784</v>
      </c>
      <c r="G14" s="63">
        <f>'IIa. Balances de Potencia'!$F$47/SUM('IIa. Balances de Potencia'!$E$47:$G$47)+'IIa. Balances de Potencia'!$E$47/SUM('IIa. Balances de Potencia'!$E$47:$G$47)*G11</f>
        <v>0.4740897828558559</v>
      </c>
      <c r="H14" s="63">
        <f>'IIa. Balances de Potencia'!$F$58/SUM('IIa. Balances de Potencia'!$E$58:$G$58)+'IIa. Balances de Potencia'!$E$58/SUM('IIa. Balances de Potencia'!$E$58:$G$58)*H11</f>
        <v>0.50575938126803588</v>
      </c>
      <c r="I14" s="69">
        <f>'IIa. Balances de Potencia'!$F$69/SUM('IIa. Balances de Potencia'!$E$69:$G$69)+'IIa. Balances de Potencia'!$E$69/SUM('IIa. Balances de Potencia'!$E$69:$G$69)*I11</f>
        <v>0.69687101371251226</v>
      </c>
    </row>
    <row r="15" spans="1:9" ht="17.25" x14ac:dyDescent="0.35">
      <c r="A15" s="589" t="s">
        <v>13</v>
      </c>
      <c r="B15" s="58" t="s">
        <v>13</v>
      </c>
      <c r="C15" s="54" t="s">
        <v>60</v>
      </c>
      <c r="D15" s="62">
        <f>'IIa. Balances de Potencia'!$G$13/SUM('IIa. Balances de Potencia'!$C$13:$G$13)</f>
        <v>6.0056815783988561E-2</v>
      </c>
      <c r="E15" s="62">
        <f>'IIa. Balances de Potencia'!$G$24/SUM('IIa. Balances de Potencia'!$C$24:$G$24)</f>
        <v>5.8838737295571604E-2</v>
      </c>
      <c r="F15" s="62">
        <f>'IIa. Balances de Potencia'!$G$35/SUM('IIa. Balances de Potencia'!$C$35:$G$35)</f>
        <v>9.0256525589405279E-2</v>
      </c>
      <c r="G15" s="62">
        <f>'IIa. Balances de Potencia'!$G$46/SUM('IIa. Balances de Potencia'!$C$46:$G$46)</f>
        <v>9.069218870434817E-2</v>
      </c>
      <c r="H15" s="62">
        <f>'IIa. Balances de Potencia'!$G$57/SUM('IIa. Balances de Potencia'!$C$57:$G$57)</f>
        <v>9.497939780241374E-2</v>
      </c>
      <c r="I15" s="68">
        <f>'IIa. Balances de Potencia'!$G$68/SUM('IIa. Balances de Potencia'!$C$68:$G$68)</f>
        <v>6.6026448448148201E-2</v>
      </c>
    </row>
    <row r="16" spans="1:9" ht="17.25" x14ac:dyDescent="0.35">
      <c r="A16" s="591"/>
      <c r="B16" s="58" t="s">
        <v>12</v>
      </c>
      <c r="C16" s="54" t="s">
        <v>61</v>
      </c>
      <c r="D16" s="62">
        <f>'IIa. Balances de Potencia'!$D$13/SUM('IIa. Balances de Potencia'!$C$13:$G$13)*$D$12</f>
        <v>4.8189422196137623E-2</v>
      </c>
      <c r="E16" s="62">
        <f>'IIa. Balances de Potencia'!$D$24/SUM('IIa. Balances de Potencia'!$C$24:$G$24)*$E$12</f>
        <v>4.8039433689426148E-2</v>
      </c>
      <c r="F16" s="62">
        <f>'IIa. Balances de Potencia'!$D$35/SUM('IIa. Balances de Potencia'!$C$35:$G$35)*$F$12</f>
        <v>6.1275150404470645E-2</v>
      </c>
      <c r="G16" s="62">
        <f>'IIa. Balances de Potencia'!$D$46/SUM('IIa. Balances de Potencia'!$C$46:$G$46)*$G$12</f>
        <v>6.170954933606277E-2</v>
      </c>
      <c r="H16" s="62">
        <f>'IIa. Balances de Potencia'!$D$57/SUM('IIa. Balances de Potencia'!$C$57:$G$57)*$H$12</f>
        <v>6.1761249286346361E-2</v>
      </c>
      <c r="I16" s="68">
        <f>'IIa. Balances de Potencia'!$D$68/SUM('IIa. Balances de Potencia'!$C$68:$G$68)*$I$12</f>
        <v>4.2041592642754859E-2</v>
      </c>
    </row>
    <row r="17" spans="1:9" ht="17.25" x14ac:dyDescent="0.35">
      <c r="A17" s="591"/>
      <c r="B17" s="58" t="s">
        <v>11</v>
      </c>
      <c r="C17" s="54" t="s">
        <v>62</v>
      </c>
      <c r="D17" s="62">
        <f>'IIa. Balances de Potencia'!$E$13/SUM('IIa. Balances de Potencia'!$C$13:$G$13)*$D$10+'IIa. Balances de Potencia'!$D$13/SUM('IIa. Balances de Potencia'!$C$13:$G$13)*$D$13</f>
        <v>0.2502357141499959</v>
      </c>
      <c r="E17" s="62">
        <f>'IIa. Balances de Potencia'!$E$24/SUM('IIa. Balances de Potencia'!$C$24:$G$24)*$E$10+'IIa. Balances de Potencia'!$D$24/SUM('IIa. Balances de Potencia'!$C$24:$G$24)*$E$13</f>
        <v>0.24594449209143693</v>
      </c>
      <c r="F17" s="62">
        <f>'IIa. Balances de Potencia'!$E$35/SUM('IIa. Balances de Potencia'!$C$35:$G$35)*$F$10+'IIa. Balances de Potencia'!$D$35/SUM('IIa. Balances de Potencia'!$C$35:$G$35)*$F$13</f>
        <v>0.3442041787561626</v>
      </c>
      <c r="G17" s="62">
        <f>'IIa. Balances de Potencia'!$E$46/SUM('IIa. Balances de Potencia'!$C$46:$G$46)*$G$10+'IIa. Balances de Potencia'!$D$46/SUM('IIa. Balances de Potencia'!$C$46:$G$46)*$G$13</f>
        <v>0.34058380154512391</v>
      </c>
      <c r="H17" s="62">
        <f>'IIa. Balances de Potencia'!$E$57/SUM('IIa. Balances de Potencia'!$C$57:$G$57)*$H$10+'IIa. Balances de Potencia'!$D$57/SUM('IIa. Balances de Potencia'!$C$57:$G$57)*$H$13</f>
        <v>0.30794362696204297</v>
      </c>
      <c r="I17" s="68">
        <f>'IIa. Balances de Potencia'!$E$68/SUM('IIa. Balances de Potencia'!$C$68:$G$68)*$I$10+'IIa. Balances de Potencia'!$D$68/SUM('IIa. Balances de Potencia'!$C$68:$G$68)*$I$13</f>
        <v>0.17300581312197516</v>
      </c>
    </row>
    <row r="18" spans="1:9" ht="15.75" x14ac:dyDescent="0.35">
      <c r="A18" s="590"/>
      <c r="B18" s="59" t="s">
        <v>10</v>
      </c>
      <c r="C18" s="55" t="s">
        <v>63</v>
      </c>
      <c r="D18" s="63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0.64151804786987787</v>
      </c>
      <c r="E18" s="63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0.64717733692356527</v>
      </c>
      <c r="F18" s="63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0.50426414524996133</v>
      </c>
      <c r="G18" s="63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0.50701446041446507</v>
      </c>
      <c r="H18" s="63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0.53531572594919685</v>
      </c>
      <c r="I18" s="69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0.71892614578712177</v>
      </c>
    </row>
    <row r="19" spans="1:9" ht="17.25" x14ac:dyDescent="0.35">
      <c r="A19" s="589" t="s">
        <v>14</v>
      </c>
      <c r="B19" s="58" t="s">
        <v>14</v>
      </c>
      <c r="C19" s="54" t="s">
        <v>64</v>
      </c>
      <c r="D19" s="62">
        <f>'IIa. Balances de Potencia'!$G$12/SUM('IIa. Balances de Potencia'!$C$12:$G$12)</f>
        <v>7.1900032100880473E-2</v>
      </c>
      <c r="E19" s="62">
        <f>'IIa. Balances de Potencia'!$G$23/SUM('IIa. Balances de Potencia'!$C$23:$G$23)</f>
        <v>6.6953892306224963E-2</v>
      </c>
      <c r="F19" s="62">
        <f>'IIa. Balances de Potencia'!$G$34/SUM('IIa. Balances de Potencia'!$C$34:$G$34)</f>
        <v>9.7895436661461374E-2</v>
      </c>
      <c r="G19" s="62">
        <f>'IIa. Balances de Potencia'!$G$45/SUM('IIa. Balances de Potencia'!$C$45:$G$45)</f>
        <v>0.10911849815111889</v>
      </c>
      <c r="H19" s="62">
        <f>'IIa. Balances de Potencia'!$G$56/SUM('IIa. Balances de Potencia'!$C$56:$G$56)</f>
        <v>0.1192134416599679</v>
      </c>
      <c r="I19" s="68">
        <f>'IIa. Balances de Potencia'!$G$67/SUM('IIa. Balances de Potencia'!$C$67:$G$67)</f>
        <v>9.3562838627855832E-2</v>
      </c>
    </row>
    <row r="20" spans="1:9" ht="17.25" x14ac:dyDescent="0.35">
      <c r="A20" s="591"/>
      <c r="B20" s="58" t="s">
        <v>13</v>
      </c>
      <c r="C20" s="54" t="s">
        <v>65</v>
      </c>
      <c r="D20" s="62">
        <f>'IIa. Balances de Potencia'!$C$12/SUM('IIa. Balances de Potencia'!$C$12:$G$12)*D15</f>
        <v>2.6497266966558984E-2</v>
      </c>
      <c r="E20" s="62">
        <f>'IIa. Balances de Potencia'!$C$23/SUM('IIa. Balances de Potencia'!$C$23:$G$23)*E15</f>
        <v>2.644877040796477E-2</v>
      </c>
      <c r="F20" s="62">
        <f>'IIa. Balances de Potencia'!$C$34/SUM('IIa. Balances de Potencia'!$C$34:$G$34)*F15</f>
        <v>3.8269572229786809E-2</v>
      </c>
      <c r="G20" s="62">
        <f>'IIa. Balances de Potencia'!$C$45/SUM('IIa. Balances de Potencia'!$C$45:$G$45)*G15</f>
        <v>3.7274272122788658E-2</v>
      </c>
      <c r="H20" s="62">
        <f>'IIa. Balances de Potencia'!$C$56/SUM('IIa. Balances de Potencia'!$C$56:$G$56)*H15</f>
        <v>4.0196008325166441E-2</v>
      </c>
      <c r="I20" s="68">
        <f>'IIa. Balances de Potencia'!$C$67/SUM('IIa. Balances de Potencia'!$C$67:$G$67)*I15</f>
        <v>2.9243937324560328E-2</v>
      </c>
    </row>
    <row r="21" spans="1:9" ht="17.25" x14ac:dyDescent="0.35">
      <c r="A21" s="591"/>
      <c r="B21" s="58" t="s">
        <v>12</v>
      </c>
      <c r="C21" s="54" t="s">
        <v>66</v>
      </c>
      <c r="D21" s="62">
        <f>'IIa. Balances de Potencia'!$D$12/SUM('IIa. Balances de Potencia'!$C$12:$G$12)*D12+'IIa. Balances de Potencia'!$C$12/SUM('IIa. Balances de Potencia'!$C$12:$G$12)*D16</f>
        <v>5.9155713223477291E-2</v>
      </c>
      <c r="E21" s="62">
        <f>'IIa. Balances de Potencia'!$D$23/SUM('IIa. Balances de Potencia'!$C$23:$G$23)*E12+'IIa. Balances de Potencia'!$C$23/SUM('IIa. Balances de Potencia'!$C$23:$G$23)*E16</f>
        <v>6.0410578100223586E-2</v>
      </c>
      <c r="F21" s="62">
        <f>'IIa. Balances de Potencia'!$D$34/SUM('IIa. Balances de Potencia'!$C$34:$G$34)*F12+'IIa. Balances de Potencia'!$C$34/SUM('IIa. Balances de Potencia'!$C$34:$G$34)*F16</f>
        <v>7.3530183169176949E-2</v>
      </c>
      <c r="G21" s="62">
        <f>'IIa. Balances de Potencia'!$D$45/SUM('IIa. Balances de Potencia'!$C$45:$G$45)*G12+'IIa. Balances de Potencia'!$C$45/SUM('IIa. Balances de Potencia'!$C$45:$G$45)*G16</f>
        <v>7.2743878139669912E-2</v>
      </c>
      <c r="H21" s="62">
        <f>'IIa. Balances de Potencia'!$D$56/SUM('IIa. Balances de Potencia'!$C$56:$G$56)*H12+'IIa. Balances de Potencia'!$C$56/SUM('IIa. Balances de Potencia'!$C$56:$G$56)*H16</f>
        <v>7.2947929391979069E-2</v>
      </c>
      <c r="I21" s="68">
        <f>'IIa. Balances de Potencia'!$D$67/SUM('IIa. Balances de Potencia'!$C$67:$G$67)*I12+'IIa. Balances de Potencia'!$C$67/SUM('IIa. Balances de Potencia'!$C$67:$G$67)*I16</f>
        <v>4.8149320362373571E-2</v>
      </c>
    </row>
    <row r="22" spans="1:9" ht="17.25" x14ac:dyDescent="0.35">
      <c r="A22" s="591"/>
      <c r="B22" s="58" t="s">
        <v>11</v>
      </c>
      <c r="C22" s="54" t="s">
        <v>67</v>
      </c>
      <c r="D22" s="62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0.23639322951648273</v>
      </c>
      <c r="E22" s="62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0.2330128539853803</v>
      </c>
      <c r="F22" s="62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0.32060025932668296</v>
      </c>
      <c r="G22" s="62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0.3137603335922195</v>
      </c>
      <c r="H22" s="62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0.28032250402688086</v>
      </c>
      <c r="I22" s="68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0.16080432876321582</v>
      </c>
    </row>
    <row r="23" spans="1:9" ht="17.649999999999999" thickBot="1" x14ac:dyDescent="0.4">
      <c r="A23" s="592"/>
      <c r="B23" s="60" t="s">
        <v>10</v>
      </c>
      <c r="C23" s="56" t="s">
        <v>68</v>
      </c>
      <c r="D23" s="64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0.60605375819260054</v>
      </c>
      <c r="E23" s="64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0.61317390520020632</v>
      </c>
      <c r="F23" s="64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0.4697045486128919</v>
      </c>
      <c r="G23" s="64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0.46710301799420295</v>
      </c>
      <c r="H23" s="64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0.48732011659600571</v>
      </c>
      <c r="I23" s="70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0.66823957492199448</v>
      </c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I25"/>
  <sheetViews>
    <sheetView showGridLines="0" workbookViewId="0">
      <selection activeCell="A8" sqref="A8:I8"/>
    </sheetView>
  </sheetViews>
  <sheetFormatPr baseColWidth="10" defaultRowHeight="12.75" x14ac:dyDescent="0.35"/>
  <cols>
    <col min="1" max="1" width="14.19921875" customWidth="1"/>
    <col min="2" max="2" width="11.46484375" customWidth="1"/>
    <col min="3" max="3" width="13.464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.75" customHeight="1" x14ac:dyDescent="0.35">
      <c r="A6" s="593" t="s">
        <v>186</v>
      </c>
      <c r="B6" s="593"/>
      <c r="C6" s="593"/>
      <c r="D6" s="593"/>
      <c r="E6" s="593"/>
      <c r="F6" s="593"/>
      <c r="G6" s="593"/>
      <c r="H6" s="593"/>
      <c r="I6" s="593"/>
    </row>
    <row r="7" spans="1:9" ht="13.15" thickBot="1" x14ac:dyDescent="0.4"/>
    <row r="8" spans="1:9" ht="25.5" x14ac:dyDescent="0.35">
      <c r="A8" s="508" t="s">
        <v>53</v>
      </c>
      <c r="B8" s="510" t="s">
        <v>69</v>
      </c>
      <c r="C8" s="509" t="s">
        <v>52</v>
      </c>
      <c r="D8" s="510" t="s">
        <v>15</v>
      </c>
      <c r="E8" s="510" t="s">
        <v>16</v>
      </c>
      <c r="F8" s="510" t="s">
        <v>17</v>
      </c>
      <c r="G8" s="510" t="s">
        <v>18</v>
      </c>
      <c r="H8" s="510" t="s">
        <v>19</v>
      </c>
      <c r="I8" s="511" t="s">
        <v>20</v>
      </c>
    </row>
    <row r="9" spans="1:9" ht="18" x14ac:dyDescent="0.35">
      <c r="A9" s="52" t="s">
        <v>10</v>
      </c>
      <c r="B9" s="57" t="s">
        <v>10</v>
      </c>
      <c r="C9" s="53" t="s">
        <v>54</v>
      </c>
      <c r="D9" s="61">
        <v>1</v>
      </c>
      <c r="E9" s="61">
        <v>1</v>
      </c>
      <c r="F9" s="61">
        <v>1</v>
      </c>
      <c r="G9" s="61">
        <v>1</v>
      </c>
      <c r="H9" s="61">
        <v>1</v>
      </c>
      <c r="I9" s="67">
        <v>1</v>
      </c>
    </row>
    <row r="10" spans="1:9" ht="18" x14ac:dyDescent="0.35">
      <c r="A10" s="589" t="s">
        <v>11</v>
      </c>
      <c r="B10" s="58" t="s">
        <v>11</v>
      </c>
      <c r="C10" s="54" t="s">
        <v>55</v>
      </c>
      <c r="D10" s="62">
        <f>'IIb. Balances de energía'!$G$15/('IIb. Balances de energía'!$F$15+'IIb. Balances de energía'!$G$15)</f>
        <v>0.34542704917353567</v>
      </c>
      <c r="E10" s="62">
        <f>'IIb. Balances de energía'!$G$26/('IIb. Balances de energía'!$F$26+'IIb. Balances de energía'!$G$26)</f>
        <v>0.3505580396640437</v>
      </c>
      <c r="F10" s="62">
        <f>'IIb. Balances de energía'!$G$37/('IIb. Balances de energía'!$F$37+'IIb. Balances de energía'!$G$37)</f>
        <v>0.39239822401043795</v>
      </c>
      <c r="G10" s="62">
        <f>'IIb. Balances de energía'!$G$48/('IIb. Balances de energía'!$F$48+'IIb. Balances de energía'!$G$48)</f>
        <v>0.39490521999250183</v>
      </c>
      <c r="H10" s="62">
        <f>'IIb. Balances de energía'!$G$59/('IIb. Balances de energía'!$F$59+'IIb. Balances de energía'!$G$59)</f>
        <v>0.39612724687676054</v>
      </c>
      <c r="I10" s="68">
        <f>'IIb. Balances de energía'!$G$70/('IIb. Balances de energía'!$F$70+'IIb. Balances de energía'!$G$70)</f>
        <v>0.36835497559075409</v>
      </c>
    </row>
    <row r="11" spans="1:9" ht="18" x14ac:dyDescent="0.35">
      <c r="A11" s="590"/>
      <c r="B11" s="59" t="s">
        <v>10</v>
      </c>
      <c r="C11" s="55" t="s">
        <v>56</v>
      </c>
      <c r="D11" s="63">
        <f>'IIb. Balances de energía'!$F$15/('IIb. Balances de energía'!$F$15+'IIb. Balances de energía'!$G$15)</f>
        <v>0.65457295082646427</v>
      </c>
      <c r="E11" s="63">
        <f>'IIb. Balances de energía'!$F$26/('IIb. Balances de energía'!$F$26+'IIb. Balances de energía'!$G$26)</f>
        <v>0.64944196033595625</v>
      </c>
      <c r="F11" s="63">
        <f>'IIb. Balances de energía'!$F$37/('IIb. Balances de energía'!$F$37+'IIb. Balances de energía'!$G$37)</f>
        <v>0.60760177598956211</v>
      </c>
      <c r="G11" s="63">
        <f>'IIb. Balances de energía'!$F$48/('IIb. Balances de energía'!$F$48+'IIb. Balances de energía'!$G$48)</f>
        <v>0.60509478000749817</v>
      </c>
      <c r="H11" s="63">
        <f>'IIb. Balances de energía'!$F$59/('IIb. Balances de energía'!$F$59+'IIb. Balances de energía'!$G$59)</f>
        <v>0.60387275312323951</v>
      </c>
      <c r="I11" s="69">
        <f>'IIb. Balances de energía'!$F$70/('IIb. Balances de energía'!$F$70+'IIb. Balances de energía'!$G$70)</f>
        <v>0.63164502440924575</v>
      </c>
    </row>
    <row r="12" spans="1:9" ht="17.25" x14ac:dyDescent="0.35">
      <c r="A12" s="589" t="s">
        <v>12</v>
      </c>
      <c r="B12" s="58" t="s">
        <v>12</v>
      </c>
      <c r="C12" s="54" t="s">
        <v>57</v>
      </c>
      <c r="D12" s="62">
        <f>'IIb. Balances de energía'!$G$14/SUM('IIb. Balances de energía'!$E$14:$G$14)</f>
        <v>0.18861973100435941</v>
      </c>
      <c r="E12" s="62">
        <f>'IIb. Balances de energía'!$G$25/SUM('IIb. Balances de energía'!$E$25:$G$25)</f>
        <v>0.20118536253611852</v>
      </c>
      <c r="F12" s="62">
        <f>'IIb. Balances de energía'!$G$36/SUM('IIb. Balances de energía'!$E$36:$G$36)</f>
        <v>0.21494150205196724</v>
      </c>
      <c r="G12" s="62">
        <f>'IIb. Balances de energía'!$G$47/SUM('IIb. Balances de energía'!$E$47:$G$47)</f>
        <v>0.22121530412529553</v>
      </c>
      <c r="H12" s="62">
        <f>'IIb. Balances de energía'!$G$58/SUM('IIb. Balances de energía'!$E$58:$G$58)</f>
        <v>0.2314411255741036</v>
      </c>
      <c r="I12" s="68">
        <f>'IIb. Balances de energía'!$G$69/SUM('IIb. Balances de energía'!$E$69:$G$69)</f>
        <v>0.23168323344444436</v>
      </c>
    </row>
    <row r="13" spans="1:9" ht="17.25" x14ac:dyDescent="0.35">
      <c r="A13" s="591"/>
      <c r="B13" s="58" t="s">
        <v>11</v>
      </c>
      <c r="C13" s="54" t="s">
        <v>58</v>
      </c>
      <c r="D13" s="62">
        <f>'IIb. Balances de energía'!$E$14/SUM('IIb. Balances de energía'!$E$14:$G$14)*D10</f>
        <v>0.28018799549985302</v>
      </c>
      <c r="E13" s="62">
        <f>'IIb. Balances de energía'!$E$25/SUM('IIb. Balances de energía'!$E$25:$G$25)*E10</f>
        <v>0.27994596821830586</v>
      </c>
      <c r="F13" s="62">
        <f>'IIb. Balances de energía'!$E$36/SUM('IIb. Balances de energía'!$E$36:$G$36)*F10</f>
        <v>0.30795946311082967</v>
      </c>
      <c r="G13" s="62">
        <f>'IIb. Balances de energía'!$E$47/SUM('IIb. Balances de energía'!$E$47:$G$47)*G10</f>
        <v>0.30745053250727128</v>
      </c>
      <c r="H13" s="62">
        <f>'IIb. Balances de energía'!$E$58/SUM('IIb. Balances de energía'!$E$58:$G$58)*H10</f>
        <v>0.30435526073410374</v>
      </c>
      <c r="I13" s="68">
        <f>'IIb. Balances de energía'!$E$69/SUM('IIb. Balances de energía'!$E$69:$G$69)*I10</f>
        <v>0.28293035349587797</v>
      </c>
    </row>
    <row r="14" spans="1:9" ht="17.25" x14ac:dyDescent="0.35">
      <c r="A14" s="590"/>
      <c r="B14" s="59" t="s">
        <v>10</v>
      </c>
      <c r="C14" s="55" t="s">
        <v>59</v>
      </c>
      <c r="D14" s="63">
        <f>'IIb. Balances de energía'!$F$14/SUM('IIb. Balances de energía'!$E$14:$G$14)+'IIb. Balances de energía'!$E$14/SUM('IIb. Balances de energía'!$E$14:$G$14)*D11</f>
        <v>0.53119227349578746</v>
      </c>
      <c r="E14" s="63">
        <f>'IIb. Balances de energía'!$F$25/SUM('IIb. Balances de energía'!$E$25:$G$25)+'IIb. Balances de energía'!$E$25/SUM('IIb. Balances de energía'!$E$25:$G$25)*E11</f>
        <v>0.51886866924557551</v>
      </c>
      <c r="F14" s="63">
        <f>'IIb. Balances de energía'!$F$36/SUM('IIb. Balances de energía'!$E$36:$G$36)+'IIb. Balances de energía'!$E$36/SUM('IIb. Balances de energía'!$E$36:$G$36)*F11</f>
        <v>0.47709903483720306</v>
      </c>
      <c r="G14" s="63">
        <f>'IIb. Balances de energía'!$F$47/SUM('IIb. Balances de energía'!$E$47:$G$47)+'IIb. Balances de energía'!$E$47/SUM('IIb. Balances de energía'!$E$47:$G$47)*G11</f>
        <v>0.47133416336743322</v>
      </c>
      <c r="H14" s="63">
        <f>'IIb. Balances de energía'!$F$58/SUM('IIb. Balances de energía'!$E$58:$G$58)+'IIb. Balances de energía'!$E$58/SUM('IIb. Balances de energía'!$E$58:$G$58)*H11</f>
        <v>0.46420361369179269</v>
      </c>
      <c r="I14" s="69">
        <f>'IIb. Balances de energía'!$F$69/SUM('IIb. Balances de energía'!$E$69:$G$69)+'IIb. Balances de energía'!$E$69/SUM('IIb. Balances de energía'!$E$69:$G$69)*I11</f>
        <v>0.4853864130596775</v>
      </c>
    </row>
    <row r="15" spans="1:9" ht="17.25" x14ac:dyDescent="0.35">
      <c r="A15" s="589" t="s">
        <v>13</v>
      </c>
      <c r="B15" s="58" t="s">
        <v>13</v>
      </c>
      <c r="C15" s="54" t="s">
        <v>60</v>
      </c>
      <c r="D15" s="62">
        <f>'IIb. Balances de energía'!$G$13/SUM('IIb. Balances de energía'!$C$13:$G$13)</f>
        <v>8.1404977949831939E-2</v>
      </c>
      <c r="E15" s="62">
        <f>'IIb. Balances de energía'!$G$24/SUM('IIb. Balances de energía'!$C$24:$G$24)</f>
        <v>8.7993583006148041E-2</v>
      </c>
      <c r="F15" s="62">
        <f>'IIb. Balances de energía'!$G$35/SUM('IIb. Balances de energía'!$C$35:$G$35)</f>
        <v>9.6913071245521842E-2</v>
      </c>
      <c r="G15" s="62">
        <f>'IIb. Balances de energía'!$G$46/SUM('IIb. Balances de energía'!$C$46:$G$46)</f>
        <v>0.100418347628713</v>
      </c>
      <c r="H15" s="62">
        <f>'IIb. Balances de energía'!$G$57/SUM('IIb. Balances de energía'!$C$57:$G$57)</f>
        <v>0.10688686225374382</v>
      </c>
      <c r="I15" s="68">
        <f>'IIb. Balances de energía'!$G$68/SUM('IIb. Balances de energía'!$C$68:$G$68)</f>
        <v>0.122682367300239</v>
      </c>
    </row>
    <row r="16" spans="1:9" ht="17.25" x14ac:dyDescent="0.35">
      <c r="A16" s="591"/>
      <c r="B16" s="58" t="s">
        <v>12</v>
      </c>
      <c r="C16" s="54" t="s">
        <v>61</v>
      </c>
      <c r="D16" s="62">
        <f>'IIb. Balances de energía'!$D$13/SUM('IIb. Balances de energía'!$C$13:$G$13)*$D$12</f>
        <v>5.755045388920229E-2</v>
      </c>
      <c r="E16" s="62">
        <f>'IIb. Balances de energía'!$D$24/SUM('IIb. Balances de energía'!$C$24:$G$24)*$E$12</f>
        <v>6.1654251114006603E-2</v>
      </c>
      <c r="F16" s="62">
        <f>'IIb. Balances de energía'!$D$35/SUM('IIb. Balances de energía'!$C$35:$G$35)*$F$12</f>
        <v>6.5057883785356693E-2</v>
      </c>
      <c r="G16" s="62">
        <f>'IIb. Balances de energía'!$D$46/SUM('IIb. Balances de energía'!$C$46:$G$46)*$G$12</f>
        <v>6.6998675682227019E-2</v>
      </c>
      <c r="H16" s="62">
        <f>'IIb. Balances de energía'!$D$57/SUM('IIb. Balances de energía'!$C$57:$G$57)*$H$12</f>
        <v>7.0375147986936643E-2</v>
      </c>
      <c r="I16" s="68">
        <f>'IIb. Balances de energía'!$D$68/SUM('IIb. Balances de energía'!$C$68:$G$68)*$I$12</f>
        <v>6.9525772151461399E-2</v>
      </c>
    </row>
    <row r="17" spans="1:9" ht="17.25" x14ac:dyDescent="0.35">
      <c r="A17" s="591"/>
      <c r="B17" s="58" t="s">
        <v>11</v>
      </c>
      <c r="C17" s="54" t="s">
        <v>62</v>
      </c>
      <c r="D17" s="62">
        <f>'IIb. Balances de energía'!$E$13/SUM('IIb. Balances de energía'!$C$13:$G$13)*$D$10+'IIb. Balances de energía'!$D$13/SUM('IIb. Balances de energía'!$C$13:$G$13)*$D$13</f>
        <v>0.29740224230532497</v>
      </c>
      <c r="E17" s="62">
        <f>'IIb. Balances de energía'!$E$24/SUM('IIb. Balances de energía'!$C$24:$G$24)*$E$10+'IIb. Balances de energía'!$D$24/SUM('IIb. Balances de energía'!$C$24:$G$24)*$E$13</f>
        <v>0.29807176256316964</v>
      </c>
      <c r="F17" s="62">
        <f>'IIb. Balances de energía'!$E$35/SUM('IIb. Balances de energía'!$C$35:$G$35)*$F$10+'IIb. Balances de energía'!$D$35/SUM('IIb. Balances de energía'!$C$35:$G$35)*$F$13</f>
        <v>0.32881202247873786</v>
      </c>
      <c r="G17" s="62">
        <f>'IIb. Balances de energía'!$E$46/SUM('IIb. Balances de energía'!$C$46:$G$46)*$G$10+'IIb. Balances de energía'!$D$46/SUM('IIb. Balances de energía'!$C$46:$G$46)*$G$13</f>
        <v>0.32876240677724822</v>
      </c>
      <c r="H17" s="62">
        <f>'IIb. Balances de energía'!$E$57/SUM('IIb. Balances de energía'!$C$57:$G$57)*$H$10+'IIb. Balances de energía'!$D$57/SUM('IIb. Balances de energía'!$C$57:$G$57)*$H$13</f>
        <v>0.32588100554194122</v>
      </c>
      <c r="I17" s="68">
        <f>'IIb. Balances de energía'!$E$68/SUM('IIb. Balances de energía'!$C$68:$G$68)*$I$10+'IIb. Balances de energía'!$D$68/SUM('IIb. Balances de energía'!$C$68:$G$68)*$I$13</f>
        <v>0.29752925853843104</v>
      </c>
    </row>
    <row r="18" spans="1:9" ht="15.75" x14ac:dyDescent="0.35">
      <c r="A18" s="590"/>
      <c r="B18" s="59" t="s">
        <v>10</v>
      </c>
      <c r="C18" s="55" t="s">
        <v>63</v>
      </c>
      <c r="D18" s="63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0.56364232585564078</v>
      </c>
      <c r="E18" s="63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0.55228040331667561</v>
      </c>
      <c r="F18" s="63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0.5092170224903837</v>
      </c>
      <c r="G18" s="63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0.50382056991181157</v>
      </c>
      <c r="H18" s="63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0.49685698421737834</v>
      </c>
      <c r="I18" s="69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0.51026260200986828</v>
      </c>
    </row>
    <row r="19" spans="1:9" ht="17.25" x14ac:dyDescent="0.35">
      <c r="A19" s="589" t="s">
        <v>14</v>
      </c>
      <c r="B19" s="58" t="s">
        <v>14</v>
      </c>
      <c r="C19" s="54" t="s">
        <v>64</v>
      </c>
      <c r="D19" s="62">
        <f>'IIb. Balances de energía'!$G$12/SUM('IIb. Balances de energía'!$C$12:$G$12)</f>
        <v>9.1036227711661366E-2</v>
      </c>
      <c r="E19" s="62">
        <f>'IIb. Balances de energía'!$G$23/SUM('IIb. Balances de energía'!$C$23:$G$23)</f>
        <v>0.10384716691290757</v>
      </c>
      <c r="F19" s="62">
        <f>'IIb. Balances de energía'!$G$34/SUM('IIb. Balances de energía'!$C$34:$G$34)</f>
        <v>0.11265926709094508</v>
      </c>
      <c r="G19" s="62">
        <f>'IIb. Balances de energía'!$G$45/SUM('IIb. Balances de energía'!$C$45:$G$45)</f>
        <v>0.11885845310313194</v>
      </c>
      <c r="H19" s="62">
        <f>'IIb. Balances de energía'!$G$56/SUM('IIb. Balances de energía'!$C$56:$G$56)</f>
        <v>0.13232930588274811</v>
      </c>
      <c r="I19" s="68">
        <f>'IIb. Balances de energía'!$G$67/SUM('IIb. Balances de energía'!$C$67:$G$67)</f>
        <v>0.15529282758693699</v>
      </c>
    </row>
    <row r="20" spans="1:9" ht="17.25" x14ac:dyDescent="0.35">
      <c r="A20" s="591"/>
      <c r="B20" s="58" t="s">
        <v>13</v>
      </c>
      <c r="C20" s="54" t="s">
        <v>65</v>
      </c>
      <c r="D20" s="62">
        <f>'IIb. Balances de energía'!$C$12/SUM('IIb. Balances de energía'!$C$12:$G$12)*D15</f>
        <v>3.4320752451543861E-2</v>
      </c>
      <c r="E20" s="62">
        <f>'IIb. Balances de energía'!$C$23/SUM('IIb. Balances de energía'!$C$23:$G$23)*E15</f>
        <v>3.6871464292270451E-2</v>
      </c>
      <c r="F20" s="62">
        <f>'IIb. Balances de energía'!$C$34/SUM('IIb. Balances de energía'!$C$34:$G$34)*F15</f>
        <v>4.1023581179183859E-2</v>
      </c>
      <c r="G20" s="62">
        <f>'IIb. Balances de energía'!$C$45/SUM('IIb. Balances de energía'!$C$45:$G$45)*G15</f>
        <v>4.2295165186208676E-2</v>
      </c>
      <c r="H20" s="62">
        <f>'IIb. Balances de energía'!$C$56/SUM('IIb. Balances de energía'!$C$56:$G$56)*H15</f>
        <v>4.4288717672038652E-2</v>
      </c>
      <c r="I20" s="68">
        <f>'IIb. Balances de energía'!$C$67/SUM('IIb. Balances de energía'!$C$67:$G$67)*I15</f>
        <v>5.010114919644075E-2</v>
      </c>
    </row>
    <row r="21" spans="1:9" ht="17.25" x14ac:dyDescent="0.35">
      <c r="A21" s="591"/>
      <c r="B21" s="58" t="s">
        <v>12</v>
      </c>
      <c r="C21" s="54" t="s">
        <v>66</v>
      </c>
      <c r="D21" s="62">
        <f>'IIb. Balances de energía'!$D$12/SUM('IIb. Balances de energía'!$C$12:$G$12)*D12+'IIb. Balances de energía'!$C$12/SUM('IIb. Balances de energía'!$C$12:$G$12)*D16</f>
        <v>7.1049233685492472E-2</v>
      </c>
      <c r="E21" s="62">
        <f>'IIb. Balances de energía'!$D$23/SUM('IIb. Balances de energía'!$C$23:$G$23)*E12+'IIb. Balances de energía'!$C$23/SUM('IIb. Balances de energía'!$C$23:$G$23)*E16</f>
        <v>7.4734456037790761E-2</v>
      </c>
      <c r="F21" s="62">
        <f>'IIb. Balances de energía'!$D$34/SUM('IIb. Balances de energía'!$C$34:$G$34)*F12+'IIb. Balances de energía'!$C$34/SUM('IIb. Balances de energía'!$C$34:$G$34)*F16</f>
        <v>7.8496497506086671E-2</v>
      </c>
      <c r="G21" s="62">
        <f>'IIb. Balances de energía'!$D$45/SUM('IIb. Balances de energía'!$C$45:$G$45)*G12+'IIb. Balances de energía'!$C$45/SUM('IIb. Balances de energía'!$C$45:$G$45)*G16</f>
        <v>8.03003011244669E-2</v>
      </c>
      <c r="H21" s="62">
        <f>'IIb. Balances de energía'!$D$56/SUM('IIb. Balances de energía'!$C$56:$G$56)*H12+'IIb. Balances de energía'!$C$56/SUM('IIb. Balances de energía'!$C$56:$G$56)*H16</f>
        <v>8.2520731831404542E-2</v>
      </c>
      <c r="I21" s="68">
        <f>'IIb. Balances de energía'!$D$67/SUM('IIb. Balances de energía'!$C$67:$G$67)*I12+'IIb. Balances de energía'!$C$67/SUM('IIb. Balances de energía'!$C$67:$G$67)*I16</f>
        <v>7.9699348101854889E-2</v>
      </c>
    </row>
    <row r="22" spans="1:9" ht="17.25" x14ac:dyDescent="0.35">
      <c r="A22" s="591"/>
      <c r="B22" s="58" t="s">
        <v>11</v>
      </c>
      <c r="C22" s="54" t="s">
        <v>67</v>
      </c>
      <c r="D22" s="62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0.27755112679875171</v>
      </c>
      <c r="E22" s="62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0.27499768056197682</v>
      </c>
      <c r="F22" s="62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0.30125636643034176</v>
      </c>
      <c r="G22" s="62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0.29951910107831281</v>
      </c>
      <c r="H22" s="62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0.29344257578001076</v>
      </c>
      <c r="I22" s="68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0.26331089584713813</v>
      </c>
    </row>
    <row r="23" spans="1:9" ht="17.649999999999999" thickBot="1" x14ac:dyDescent="0.4">
      <c r="A23" s="592"/>
      <c r="B23" s="60" t="s">
        <v>10</v>
      </c>
      <c r="C23" s="56" t="s">
        <v>68</v>
      </c>
      <c r="D23" s="64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0.52604265935255057</v>
      </c>
      <c r="E23" s="64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0.50954923219505432</v>
      </c>
      <c r="F23" s="64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0.46656428779344261</v>
      </c>
      <c r="G23" s="64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0.45902697950787963</v>
      </c>
      <c r="H23" s="64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0.44741866883379811</v>
      </c>
      <c r="I23" s="70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0.45159577926762906</v>
      </c>
    </row>
    <row r="25" spans="1:9" x14ac:dyDescent="0.35">
      <c r="D25" s="66"/>
      <c r="E25" s="66"/>
      <c r="F25" s="66"/>
      <c r="G25" s="66"/>
      <c r="H25" s="66"/>
      <c r="I25" s="66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>
      <selection activeCell="J8" sqref="J8:J9"/>
    </sheetView>
  </sheetViews>
  <sheetFormatPr baseColWidth="10" defaultColWidth="11.46484375" defaultRowHeight="12.75" x14ac:dyDescent="0.35"/>
  <cols>
    <col min="1" max="1" width="13.796875" style="71" customWidth="1"/>
    <col min="2" max="8" width="13.73046875" style="71" customWidth="1"/>
    <col min="9" max="9" width="11.796875" style="71" bestFit="1" customWidth="1"/>
    <col min="10" max="10" width="13.796875" style="71" bestFit="1" customWidth="1"/>
    <col min="11" max="11" width="11.46484375" style="71"/>
    <col min="12" max="12" width="11.796875" style="71" bestFit="1" customWidth="1"/>
    <col min="13" max="16384" width="11.46484375" style="71"/>
  </cols>
  <sheetData>
    <row r="1" spans="1:10" s="1" customFormat="1" x14ac:dyDescent="0.35"/>
    <row r="2" spans="1:10" s="1" customFormat="1" x14ac:dyDescent="0.35"/>
    <row r="3" spans="1:10" s="1" customFormat="1" x14ac:dyDescent="0.35"/>
    <row r="4" spans="1:10" s="1" customFormat="1" x14ac:dyDescent="0.35"/>
    <row r="5" spans="1:10" s="1" customFormat="1" x14ac:dyDescent="0.35"/>
    <row r="6" spans="1:10" s="325" customFormat="1" ht="30" customHeight="1" x14ac:dyDescent="0.35">
      <c r="A6" s="325" t="s">
        <v>187</v>
      </c>
    </row>
    <row r="7" spans="1:10" ht="7.5" customHeight="1" thickBot="1" x14ac:dyDescent="0.4"/>
    <row r="8" spans="1:10" ht="24" customHeight="1" x14ac:dyDescent="0.35">
      <c r="D8" s="557" t="s">
        <v>24</v>
      </c>
      <c r="E8" s="555" t="s">
        <v>82</v>
      </c>
      <c r="F8" s="555"/>
      <c r="G8" s="555"/>
      <c r="H8" s="556"/>
      <c r="J8" s="598" t="s">
        <v>91</v>
      </c>
    </row>
    <row r="9" spans="1:10" ht="24" customHeight="1" thickBot="1" x14ac:dyDescent="0.4">
      <c r="D9" s="558" t="s">
        <v>14</v>
      </c>
      <c r="E9" s="559" t="s">
        <v>13</v>
      </c>
      <c r="F9" s="559" t="s">
        <v>83</v>
      </c>
      <c r="G9" s="559" t="s">
        <v>84</v>
      </c>
      <c r="H9" s="560" t="s">
        <v>10</v>
      </c>
      <c r="J9" s="599"/>
    </row>
    <row r="10" spans="1:10" s="72" customFormat="1" ht="42" customHeight="1" x14ac:dyDescent="0.35">
      <c r="A10" s="608" t="s">
        <v>85</v>
      </c>
      <c r="B10" s="609"/>
      <c r="C10" s="610"/>
      <c r="D10" s="73">
        <f>'I. Datos de entrada'!C14</f>
        <v>1318944.8419176191</v>
      </c>
      <c r="E10" s="74">
        <f>'I. Datos de entrada'!$C$32*E11</f>
        <v>480117.16864838975</v>
      </c>
      <c r="F10" s="75">
        <f>'I. Datos de entrada'!$C$32*F11</f>
        <v>586753.7187376637</v>
      </c>
      <c r="G10" s="75">
        <f>'I. Datos de entrada'!$C$32*G11</f>
        <v>2050353.0033752813</v>
      </c>
      <c r="H10" s="76">
        <f>'I. Datos de entrada'!$C$32*H11</f>
        <v>1936641.04237961</v>
      </c>
      <c r="J10" s="507">
        <f>SUM(D10:H10)</f>
        <v>6372809.7750585638</v>
      </c>
    </row>
    <row r="11" spans="1:10" s="28" customFormat="1" ht="42" customHeight="1" thickBot="1" x14ac:dyDescent="0.4">
      <c r="A11" s="611" t="s">
        <v>86</v>
      </c>
      <c r="B11" s="612"/>
      <c r="C11" s="613"/>
      <c r="D11" s="77">
        <v>1</v>
      </c>
      <c r="E11" s="78">
        <f>'I. Datos de entrada'!B50</f>
        <v>9.5000000000000001E-2</v>
      </c>
      <c r="F11" s="79">
        <f>'I. Datos de entrada'!B49</f>
        <v>0.11609999999999999</v>
      </c>
      <c r="G11" s="79">
        <f>'I. Datos de entrada'!B48</f>
        <v>0.40570000000000001</v>
      </c>
      <c r="H11" s="80">
        <f>'I. Datos de entrada'!B47</f>
        <v>0.38319999999999999</v>
      </c>
      <c r="J11" s="110"/>
    </row>
    <row r="14" spans="1:10" s="325" customFormat="1" ht="30" customHeight="1" x14ac:dyDescent="0.35">
      <c r="A14" s="325" t="s">
        <v>188</v>
      </c>
    </row>
    <row r="15" spans="1:10" ht="13.15" thickBot="1" x14ac:dyDescent="0.4"/>
    <row r="16" spans="1:10" ht="24" customHeight="1" x14ac:dyDescent="0.35">
      <c r="D16" s="557" t="s">
        <v>24</v>
      </c>
      <c r="E16" s="555" t="s">
        <v>82</v>
      </c>
      <c r="F16" s="555"/>
      <c r="G16" s="555"/>
      <c r="H16" s="556"/>
      <c r="J16" s="598" t="s">
        <v>91</v>
      </c>
    </row>
    <row r="17" spans="1:12" ht="24" customHeight="1" thickBot="1" x14ac:dyDescent="0.4">
      <c r="D17" s="558" t="s">
        <v>14</v>
      </c>
      <c r="E17" s="559" t="s">
        <v>13</v>
      </c>
      <c r="F17" s="559" t="s">
        <v>83</v>
      </c>
      <c r="G17" s="559" t="s">
        <v>84</v>
      </c>
      <c r="H17" s="560" t="s">
        <v>10</v>
      </c>
      <c r="J17" s="599"/>
    </row>
    <row r="18" spans="1:12" ht="13.15" thickBot="1" x14ac:dyDescent="0.4"/>
    <row r="19" spans="1:12" ht="45.75" customHeight="1" x14ac:dyDescent="0.35">
      <c r="A19" s="602" t="s">
        <v>87</v>
      </c>
      <c r="B19" s="603"/>
      <c r="C19" s="604"/>
      <c r="D19" s="82">
        <f>'I. Datos de entrada'!$B$65</f>
        <v>0.75</v>
      </c>
      <c r="E19" s="83">
        <f>'I. Datos de entrada'!$B$64</f>
        <v>0.75</v>
      </c>
      <c r="F19" s="83">
        <f>'I. Datos de entrada'!$B$63</f>
        <v>0.75</v>
      </c>
      <c r="G19" s="83">
        <f>'I. Datos de entrada'!$B$62</f>
        <v>0.75</v>
      </c>
      <c r="H19" s="84">
        <f>'I. Datos de entrada'!$B$61</f>
        <v>1</v>
      </c>
      <c r="J19" s="85">
        <f>J20/SUM(D10:H10)</f>
        <v>0.82597280911942073</v>
      </c>
    </row>
    <row r="20" spans="1:12" ht="42.75" customHeight="1" thickBot="1" x14ac:dyDescent="0.4">
      <c r="A20" s="605" t="s">
        <v>88</v>
      </c>
      <c r="B20" s="606"/>
      <c r="C20" s="607"/>
      <c r="D20" s="86">
        <f>D10*D19</f>
        <v>989208.63143821433</v>
      </c>
      <c r="E20" s="87">
        <f>E10*E19</f>
        <v>360087.87648629234</v>
      </c>
      <c r="F20" s="87">
        <f>F10*F19</f>
        <v>440065.28905324778</v>
      </c>
      <c r="G20" s="87">
        <f>G10*G19</f>
        <v>1537764.752531461</v>
      </c>
      <c r="H20" s="88">
        <f>H10*H19</f>
        <v>1936641.04237961</v>
      </c>
      <c r="J20" s="89">
        <f>SUM(D20:H20)</f>
        <v>5263767.5918888254</v>
      </c>
    </row>
    <row r="21" spans="1:12" ht="9.75" customHeight="1" thickBot="1" x14ac:dyDescent="0.4">
      <c r="A21" s="90"/>
      <c r="D21" s="90"/>
      <c r="E21" s="90"/>
      <c r="F21" s="90"/>
      <c r="G21" s="90"/>
      <c r="H21" s="90"/>
      <c r="J21" s="90"/>
    </row>
    <row r="22" spans="1:12" ht="43.5" customHeight="1" x14ac:dyDescent="0.35">
      <c r="A22" s="602" t="s">
        <v>89</v>
      </c>
      <c r="B22" s="603"/>
      <c r="C22" s="604"/>
      <c r="D22" s="82">
        <f>1-D19</f>
        <v>0.25</v>
      </c>
      <c r="E22" s="83">
        <f>1-E19</f>
        <v>0.25</v>
      </c>
      <c r="F22" s="83">
        <f>1-F19</f>
        <v>0.25</v>
      </c>
      <c r="G22" s="83">
        <f>1-G19</f>
        <v>0.25</v>
      </c>
      <c r="H22" s="84">
        <f>1-H19</f>
        <v>0</v>
      </c>
      <c r="J22" s="85">
        <f>J23/SUM(D10:H10)</f>
        <v>0.1740271908805793</v>
      </c>
    </row>
    <row r="23" spans="1:12" ht="51.75" customHeight="1" thickBot="1" x14ac:dyDescent="0.4">
      <c r="A23" s="605" t="s">
        <v>90</v>
      </c>
      <c r="B23" s="606"/>
      <c r="C23" s="607"/>
      <c r="D23" s="86">
        <f>D10*D22</f>
        <v>329736.21047940478</v>
      </c>
      <c r="E23" s="87">
        <f>E10*E22</f>
        <v>120029.29216209744</v>
      </c>
      <c r="F23" s="87">
        <f>F10*F22</f>
        <v>146688.42968441593</v>
      </c>
      <c r="G23" s="87">
        <f>G10*G22</f>
        <v>512588.25084382034</v>
      </c>
      <c r="H23" s="88">
        <f>H10*H22</f>
        <v>0</v>
      </c>
      <c r="J23" s="89">
        <f>SUM(D23:H23)</f>
        <v>1109042.1831697384</v>
      </c>
    </row>
    <row r="26" spans="1:12" s="325" customFormat="1" ht="30" customHeight="1" x14ac:dyDescent="0.35">
      <c r="A26" s="325" t="s">
        <v>189</v>
      </c>
    </row>
    <row r="28" spans="1:12" s="327" customFormat="1" ht="16.5" x14ac:dyDescent="0.45">
      <c r="A28" s="326" t="s">
        <v>195</v>
      </c>
    </row>
    <row r="29" spans="1:12" ht="13.15" thickBot="1" x14ac:dyDescent="0.4"/>
    <row r="30" spans="1:12" ht="30" customHeight="1" thickBot="1" x14ac:dyDescent="0.4">
      <c r="B30" s="91" t="s">
        <v>94</v>
      </c>
      <c r="C30" s="92"/>
      <c r="D30" s="93"/>
      <c r="E30" s="93"/>
      <c r="F30" s="92"/>
      <c r="H30" s="91" t="s">
        <v>92</v>
      </c>
      <c r="I30" s="92"/>
      <c r="J30" s="93"/>
      <c r="K30" s="93"/>
      <c r="L30" s="92"/>
    </row>
    <row r="31" spans="1:12" ht="6.75" customHeight="1" thickBot="1" x14ac:dyDescent="0.4"/>
    <row r="32" spans="1:12" ht="21" customHeight="1" x14ac:dyDescent="0.35">
      <c r="A32" s="600" t="s">
        <v>93</v>
      </c>
      <c r="B32" s="548" t="s">
        <v>0</v>
      </c>
      <c r="C32" s="549"/>
      <c r="D32" s="549"/>
      <c r="E32" s="549"/>
      <c r="F32" s="534"/>
      <c r="H32" s="553" t="s">
        <v>0</v>
      </c>
      <c r="I32" s="549"/>
      <c r="J32" s="549"/>
      <c r="K32" s="549"/>
      <c r="L32" s="534"/>
    </row>
    <row r="33" spans="1:12" ht="21" customHeight="1" x14ac:dyDescent="0.35">
      <c r="A33" s="601"/>
      <c r="B33" s="550">
        <v>0</v>
      </c>
      <c r="C33" s="551">
        <v>1</v>
      </c>
      <c r="D33" s="551">
        <v>2</v>
      </c>
      <c r="E33" s="551">
        <v>3</v>
      </c>
      <c r="F33" s="552">
        <v>4</v>
      </c>
      <c r="H33" s="554">
        <v>0</v>
      </c>
      <c r="I33" s="551">
        <v>1</v>
      </c>
      <c r="J33" s="551">
        <v>2</v>
      </c>
      <c r="K33" s="551">
        <v>3</v>
      </c>
      <c r="L33" s="552">
        <v>4</v>
      </c>
    </row>
    <row r="34" spans="1:12" ht="18" customHeight="1" x14ac:dyDescent="0.35">
      <c r="A34" s="113" t="s">
        <v>15</v>
      </c>
      <c r="B34" s="111">
        <f>'I. Datos de entrada'!B76</f>
        <v>0.34875</v>
      </c>
      <c r="C34" s="94">
        <f>'I. Datos de entrada'!C76</f>
        <v>0.361875</v>
      </c>
      <c r="D34" s="94">
        <f>'I. Datos de entrada'!D76</f>
        <v>0.37125000000000002</v>
      </c>
      <c r="E34" s="94">
        <f>'I. Datos de entrada'!E76</f>
        <v>0.35915053091817611</v>
      </c>
      <c r="F34" s="95">
        <f>'I. Datos de entrada'!F76</f>
        <v>0.3579013116801999</v>
      </c>
      <c r="H34" s="96">
        <f>H$20*B34</f>
        <v>675403.56352988898</v>
      </c>
      <c r="I34" s="97">
        <f>G$20*C34</f>
        <v>556478.61982232239</v>
      </c>
      <c r="J34" s="97">
        <f t="shared" ref="J34:J39" si="0">F$20*D34</f>
        <v>163374.23856101825</v>
      </c>
      <c r="K34" s="97">
        <f t="shared" ref="K34:K39" si="1">E$20*E34</f>
        <v>129325.75201725052</v>
      </c>
      <c r="L34" s="98">
        <f t="shared" ref="L34:L39" si="2">D$20*F34</f>
        <v>354039.06671711232</v>
      </c>
    </row>
    <row r="35" spans="1:12" ht="18" customHeight="1" x14ac:dyDescent="0.35">
      <c r="A35" s="114" t="s">
        <v>16</v>
      </c>
      <c r="B35" s="111">
        <f>'I. Datos de entrada'!B77</f>
        <v>0.33875</v>
      </c>
      <c r="C35" s="94">
        <f>'I. Datos de entrada'!C77</f>
        <v>0.35375000000000001</v>
      </c>
      <c r="D35" s="94">
        <f>'I. Datos de entrada'!D77</f>
        <v>0.38687500000000002</v>
      </c>
      <c r="E35" s="94">
        <f>'I. Datos de entrada'!E77</f>
        <v>0.3579013116801999</v>
      </c>
      <c r="F35" s="95">
        <f>'I. Datos de entrada'!F77</f>
        <v>0.36039975015615239</v>
      </c>
      <c r="H35" s="96">
        <f t="shared" ref="H35:H39" si="3">H$20*B35</f>
        <v>656037.15310609282</v>
      </c>
      <c r="I35" s="97">
        <f t="shared" ref="I35:I39" si="4">G$20*C35</f>
        <v>543984.28120800434</v>
      </c>
      <c r="J35" s="97">
        <f t="shared" si="0"/>
        <v>170250.25870247526</v>
      </c>
      <c r="K35" s="97">
        <f t="shared" si="1"/>
        <v>128875.92331458184</v>
      </c>
      <c r="L35" s="98">
        <f t="shared" si="2"/>
        <v>356510.54362264188</v>
      </c>
    </row>
    <row r="36" spans="1:12" ht="18" customHeight="1" x14ac:dyDescent="0.35">
      <c r="A36" s="114" t="s">
        <v>17</v>
      </c>
      <c r="B36" s="111">
        <f>'I. Datos de entrada'!B78</f>
        <v>7.7499999999999999E-2</v>
      </c>
      <c r="C36" s="94">
        <f>'I. Datos de entrada'!C78</f>
        <v>0.13062499999999999</v>
      </c>
      <c r="D36" s="94">
        <f>'I. Datos de entrada'!D78</f>
        <v>0.12125</v>
      </c>
      <c r="E36" s="94">
        <f>'I. Datos de entrada'!E78</f>
        <v>0.12617114303560276</v>
      </c>
      <c r="F36" s="95">
        <f>'I. Datos de entrada'!F78</f>
        <v>0.14428482198625858</v>
      </c>
      <c r="H36" s="96">
        <f t="shared" si="3"/>
        <v>150089.68078441976</v>
      </c>
      <c r="I36" s="97">
        <f t="shared" si="4"/>
        <v>200870.52079942208</v>
      </c>
      <c r="J36" s="97">
        <f t="shared" si="0"/>
        <v>53357.916297706288</v>
      </c>
      <c r="K36" s="97">
        <f t="shared" si="1"/>
        <v>45432.698969538447</v>
      </c>
      <c r="L36" s="98">
        <f t="shared" si="2"/>
        <v>142727.79129433323</v>
      </c>
    </row>
    <row r="37" spans="1:12" ht="18" customHeight="1" x14ac:dyDescent="0.35">
      <c r="A37" s="114" t="s">
        <v>18</v>
      </c>
      <c r="B37" s="111">
        <f>'I. Datos de entrada'!B79</f>
        <v>7.3124999999999996E-2</v>
      </c>
      <c r="C37" s="94">
        <f>'I. Datos de entrada'!C79</f>
        <v>0.115</v>
      </c>
      <c r="D37" s="94">
        <f>'I. Datos de entrada'!D79</f>
        <v>9.5625000000000002E-2</v>
      </c>
      <c r="E37" s="94">
        <f>'I. Datos de entrada'!E79</f>
        <v>0.10493441599000625</v>
      </c>
      <c r="F37" s="95">
        <f>'I. Datos de entrada'!F79</f>
        <v>0.10306058713304185</v>
      </c>
      <c r="H37" s="96">
        <f t="shared" si="3"/>
        <v>141616.87622400897</v>
      </c>
      <c r="I37" s="97">
        <f t="shared" si="4"/>
        <v>176842.94654111803</v>
      </c>
      <c r="J37" s="97">
        <f t="shared" si="0"/>
        <v>42081.243265716817</v>
      </c>
      <c r="K37" s="97">
        <f t="shared" si="1"/>
        <v>37785.61102417059</v>
      </c>
      <c r="L37" s="98">
        <f t="shared" si="2"/>
        <v>101948.42235309517</v>
      </c>
    </row>
    <row r="38" spans="1:12" ht="18" customHeight="1" x14ac:dyDescent="0.35">
      <c r="A38" s="114" t="s">
        <v>19</v>
      </c>
      <c r="B38" s="111">
        <f>'I. Datos de entrada'!B80</f>
        <v>1.25E-3</v>
      </c>
      <c r="C38" s="423">
        <f>'I. Datos de entrada'!C80</f>
        <v>1.25E-3</v>
      </c>
      <c r="D38" s="423">
        <f>'I. Datos de entrada'!D80</f>
        <v>6.2500000000000001E-4</v>
      </c>
      <c r="E38" s="94">
        <f>'I. Datos de entrada'!E80</f>
        <v>6.2460961898813238E-4</v>
      </c>
      <c r="F38" s="95">
        <f>'I. Datos de entrada'!F80</f>
        <v>6.2460961898813238E-4</v>
      </c>
      <c r="H38" s="96">
        <f t="shared" si="3"/>
        <v>2420.8013029745125</v>
      </c>
      <c r="I38" s="97">
        <f>G$20*C38</f>
        <v>1922.2059406643261</v>
      </c>
      <c r="J38" s="97">
        <f t="shared" si="0"/>
        <v>275.04080565827985</v>
      </c>
      <c r="K38" s="97">
        <f t="shared" si="1"/>
        <v>224.91435133434874</v>
      </c>
      <c r="L38" s="98">
        <f t="shared" si="2"/>
        <v>617.86922638239491</v>
      </c>
    </row>
    <row r="39" spans="1:12" ht="18" customHeight="1" thickBot="1" x14ac:dyDescent="0.4">
      <c r="A39" s="115" t="s">
        <v>20</v>
      </c>
      <c r="B39" s="112">
        <f>'I. Datos de entrada'!B81</f>
        <v>0.16062499999999999</v>
      </c>
      <c r="C39" s="99">
        <f>'I. Datos de entrada'!C81</f>
        <v>3.7499999999999999E-2</v>
      </c>
      <c r="D39" s="99">
        <f>'I. Datos de entrada'!D81</f>
        <v>2.4375000000000001E-2</v>
      </c>
      <c r="E39" s="99">
        <f>'I. Datos de entrada'!E81</f>
        <v>5.1217988757026857E-2</v>
      </c>
      <c r="F39" s="100">
        <f>'I. Datos de entrada'!F81</f>
        <v>3.3728919425359154E-2</v>
      </c>
      <c r="H39" s="101">
        <f t="shared" si="3"/>
        <v>311072.96743222483</v>
      </c>
      <c r="I39" s="102">
        <f t="shared" si="4"/>
        <v>57666.178219929781</v>
      </c>
      <c r="J39" s="102">
        <f t="shared" si="0"/>
        <v>10726.591420672916</v>
      </c>
      <c r="K39" s="102">
        <f t="shared" si="1"/>
        <v>18442.976809416596</v>
      </c>
      <c r="L39" s="103">
        <f t="shared" si="2"/>
        <v>33364.938224649333</v>
      </c>
    </row>
    <row r="40" spans="1:12" ht="5.2" customHeight="1" thickBot="1" x14ac:dyDescent="0.4">
      <c r="B40" s="104"/>
      <c r="C40" s="104"/>
      <c r="D40" s="104"/>
      <c r="E40" s="104"/>
      <c r="F40" s="104"/>
      <c r="H40" s="105"/>
      <c r="I40" s="105"/>
      <c r="J40" s="105"/>
      <c r="K40" s="105"/>
      <c r="L40" s="105"/>
    </row>
    <row r="41" spans="1:12" ht="18" customHeight="1" thickBot="1" x14ac:dyDescent="0.4">
      <c r="A41" s="48" t="s">
        <v>1</v>
      </c>
      <c r="B41" s="116">
        <f>SUM(B34:B40)</f>
        <v>1</v>
      </c>
      <c r="C41" s="106">
        <f>SUM(C34:C40)</f>
        <v>0.99999999999999989</v>
      </c>
      <c r="D41" s="106">
        <f>SUM(D34:D40)</f>
        <v>1</v>
      </c>
      <c r="E41" s="106">
        <f>SUM(E34:E40)</f>
        <v>1</v>
      </c>
      <c r="F41" s="33">
        <f>SUM(F34:F40)</f>
        <v>1</v>
      </c>
      <c r="H41" s="107">
        <f>SUM(H34:H39)</f>
        <v>1936641.04237961</v>
      </c>
      <c r="I41" s="108">
        <f t="shared" ref="I41:L41" si="5">SUM(I34:I39)</f>
        <v>1537764.752531461</v>
      </c>
      <c r="J41" s="108">
        <f t="shared" si="5"/>
        <v>440065.28905324778</v>
      </c>
      <c r="K41" s="108">
        <f t="shared" si="5"/>
        <v>360087.87648629234</v>
      </c>
      <c r="L41" s="109">
        <f t="shared" si="5"/>
        <v>989208.63143821433</v>
      </c>
    </row>
    <row r="44" spans="1:12" s="327" customFormat="1" ht="16.5" x14ac:dyDescent="0.45">
      <c r="A44" s="326" t="s">
        <v>196</v>
      </c>
    </row>
    <row r="45" spans="1:12" ht="13.15" thickBot="1" x14ac:dyDescent="0.4"/>
    <row r="46" spans="1:12" ht="30" customHeight="1" thickBot="1" x14ac:dyDescent="0.4">
      <c r="B46" s="91" t="s">
        <v>94</v>
      </c>
      <c r="C46" s="92"/>
      <c r="D46" s="93"/>
      <c r="E46" s="93"/>
      <c r="F46" s="92"/>
      <c r="H46" s="91" t="s">
        <v>92</v>
      </c>
      <c r="I46" s="92"/>
      <c r="J46" s="93"/>
      <c r="K46" s="93"/>
      <c r="L46" s="92"/>
    </row>
    <row r="47" spans="1:12" ht="6.75" customHeight="1" thickBot="1" x14ac:dyDescent="0.4"/>
    <row r="48" spans="1:12" ht="21" customHeight="1" x14ac:dyDescent="0.35">
      <c r="A48" s="600" t="s">
        <v>93</v>
      </c>
      <c r="B48" s="548" t="s">
        <v>0</v>
      </c>
      <c r="C48" s="549"/>
      <c r="D48" s="549"/>
      <c r="E48" s="549"/>
      <c r="F48" s="534"/>
      <c r="H48" s="553" t="s">
        <v>0</v>
      </c>
      <c r="I48" s="549"/>
      <c r="J48" s="549"/>
      <c r="K48" s="549"/>
      <c r="L48" s="534"/>
    </row>
    <row r="49" spans="1:15" ht="21" customHeight="1" x14ac:dyDescent="0.35">
      <c r="A49" s="601"/>
      <c r="B49" s="550">
        <v>0</v>
      </c>
      <c r="C49" s="551">
        <v>1</v>
      </c>
      <c r="D49" s="551">
        <v>2</v>
      </c>
      <c r="E49" s="551">
        <v>3</v>
      </c>
      <c r="F49" s="552">
        <v>4</v>
      </c>
      <c r="H49" s="554">
        <v>0</v>
      </c>
      <c r="I49" s="551">
        <v>1</v>
      </c>
      <c r="J49" s="551">
        <v>2</v>
      </c>
      <c r="K49" s="551">
        <v>3</v>
      </c>
      <c r="L49" s="552">
        <v>4</v>
      </c>
    </row>
    <row r="50" spans="1:15" ht="18" customHeight="1" x14ac:dyDescent="0.35">
      <c r="A50" s="113" t="s">
        <v>15</v>
      </c>
      <c r="B50" s="111">
        <f>'I. Datos de entrada'!B92</f>
        <v>0.34875</v>
      </c>
      <c r="C50" s="94">
        <f>'I. Datos de entrada'!C92</f>
        <v>0.361875</v>
      </c>
      <c r="D50" s="94">
        <f>'I. Datos de entrada'!D92</f>
        <v>0.37125000000000002</v>
      </c>
      <c r="E50" s="94">
        <f>'I. Datos de entrada'!E92</f>
        <v>0.35915053091817611</v>
      </c>
      <c r="F50" s="95">
        <f>'I. Datos de entrada'!F92</f>
        <v>0.3579013116801999</v>
      </c>
      <c r="H50" s="96">
        <f t="shared" ref="H50:H55" si="6">H$23*B50</f>
        <v>0</v>
      </c>
      <c r="I50" s="97">
        <f t="shared" ref="I50:I55" si="7">G$23*C50</f>
        <v>185492.87327410749</v>
      </c>
      <c r="J50" s="97">
        <f t="shared" ref="J50:J55" si="8">F$23*D50</f>
        <v>54458.079520339415</v>
      </c>
      <c r="K50" s="97">
        <f t="shared" ref="K50:K55" si="9">E$23*E50</f>
        <v>43108.58400575017</v>
      </c>
      <c r="L50" s="98">
        <f t="shared" ref="L50:L55" si="10">D$23*F50</f>
        <v>118013.02223903744</v>
      </c>
    </row>
    <row r="51" spans="1:15" ht="18" customHeight="1" x14ac:dyDescent="0.35">
      <c r="A51" s="114" t="s">
        <v>16</v>
      </c>
      <c r="B51" s="111">
        <f>'I. Datos de entrada'!B93</f>
        <v>0.33875</v>
      </c>
      <c r="C51" s="94">
        <f>'I. Datos de entrada'!C93</f>
        <v>0.35375000000000001</v>
      </c>
      <c r="D51" s="94">
        <f>'I. Datos de entrada'!D93</f>
        <v>0.38687500000000002</v>
      </c>
      <c r="E51" s="94">
        <f>'I. Datos de entrada'!E93</f>
        <v>0.3579013116801999</v>
      </c>
      <c r="F51" s="95">
        <f>'I. Datos de entrada'!F93</f>
        <v>0.36039975015615239</v>
      </c>
      <c r="H51" s="96">
        <f t="shared" si="6"/>
        <v>0</v>
      </c>
      <c r="I51" s="97">
        <f t="shared" si="7"/>
        <v>181328.09373600144</v>
      </c>
      <c r="J51" s="97">
        <f t="shared" si="8"/>
        <v>56750.086234158414</v>
      </c>
      <c r="K51" s="97">
        <f t="shared" si="9"/>
        <v>42958.64110486061</v>
      </c>
      <c r="L51" s="98">
        <f t="shared" si="10"/>
        <v>118836.84787421396</v>
      </c>
    </row>
    <row r="52" spans="1:15" ht="18" customHeight="1" x14ac:dyDescent="0.35">
      <c r="A52" s="114" t="s">
        <v>17</v>
      </c>
      <c r="B52" s="111">
        <f>'I. Datos de entrada'!B94</f>
        <v>7.7499999999999999E-2</v>
      </c>
      <c r="C52" s="94">
        <f>'I. Datos de entrada'!C94</f>
        <v>0.13062499999999999</v>
      </c>
      <c r="D52" s="94">
        <f>'I. Datos de entrada'!D94</f>
        <v>0.12125</v>
      </c>
      <c r="E52" s="94">
        <f>'I. Datos de entrada'!E94</f>
        <v>0.12617114303560276</v>
      </c>
      <c r="F52" s="95">
        <f>'I. Datos de entrada'!F94</f>
        <v>0.14428482198625858</v>
      </c>
      <c r="H52" s="96">
        <f t="shared" si="6"/>
        <v>0</v>
      </c>
      <c r="I52" s="97">
        <f t="shared" si="7"/>
        <v>66956.840266474028</v>
      </c>
      <c r="J52" s="97">
        <f t="shared" si="8"/>
        <v>17785.972099235431</v>
      </c>
      <c r="K52" s="97">
        <f t="shared" si="9"/>
        <v>15144.232989846148</v>
      </c>
      <c r="L52" s="98">
        <f t="shared" si="10"/>
        <v>47575.930431444409</v>
      </c>
    </row>
    <row r="53" spans="1:15" ht="18" customHeight="1" x14ac:dyDescent="0.35">
      <c r="A53" s="114" t="s">
        <v>18</v>
      </c>
      <c r="B53" s="111">
        <f>'I. Datos de entrada'!B95</f>
        <v>7.3124999999999996E-2</v>
      </c>
      <c r="C53" s="94">
        <f>'I. Datos de entrada'!C95</f>
        <v>0.115</v>
      </c>
      <c r="D53" s="94">
        <f>'I. Datos de entrada'!D95</f>
        <v>9.5625000000000002E-2</v>
      </c>
      <c r="E53" s="94">
        <f>'I. Datos de entrada'!E95</f>
        <v>0.10493441599000625</v>
      </c>
      <c r="F53" s="95">
        <f>'I. Datos de entrada'!F95</f>
        <v>0.10306058713304185</v>
      </c>
      <c r="H53" s="96">
        <f t="shared" si="6"/>
        <v>0</v>
      </c>
      <c r="I53" s="97">
        <f t="shared" si="7"/>
        <v>58947.648847039338</v>
      </c>
      <c r="J53" s="97">
        <f t="shared" si="8"/>
        <v>14027.081088572273</v>
      </c>
      <c r="K53" s="97">
        <f t="shared" si="9"/>
        <v>12595.203674723529</v>
      </c>
      <c r="L53" s="98">
        <f t="shared" si="10"/>
        <v>33982.807451031724</v>
      </c>
    </row>
    <row r="54" spans="1:15" ht="18" customHeight="1" x14ac:dyDescent="0.35">
      <c r="A54" s="114" t="s">
        <v>19</v>
      </c>
      <c r="B54" s="111">
        <f>'I. Datos de entrada'!B96</f>
        <v>1.25E-3</v>
      </c>
      <c r="C54" s="94">
        <f>'I. Datos de entrada'!C96</f>
        <v>1.25E-3</v>
      </c>
      <c r="D54" s="94">
        <f>'I. Datos de entrada'!D96</f>
        <v>6.2500000000000001E-4</v>
      </c>
      <c r="E54" s="94">
        <f>'I. Datos de entrada'!E96</f>
        <v>6.2460961898813238E-4</v>
      </c>
      <c r="F54" s="95">
        <f>'I. Datos de entrada'!F96</f>
        <v>6.2460961898813238E-4</v>
      </c>
      <c r="H54" s="96">
        <f t="shared" si="6"/>
        <v>0</v>
      </c>
      <c r="I54" s="97">
        <f t="shared" si="7"/>
        <v>640.73531355477542</v>
      </c>
      <c r="J54" s="97">
        <f t="shared" si="8"/>
        <v>91.680268552759955</v>
      </c>
      <c r="K54" s="97">
        <f t="shared" si="9"/>
        <v>74.971450444782903</v>
      </c>
      <c r="L54" s="98">
        <f t="shared" si="10"/>
        <v>205.95640879413165</v>
      </c>
    </row>
    <row r="55" spans="1:15" ht="18" customHeight="1" thickBot="1" x14ac:dyDescent="0.4">
      <c r="A55" s="115" t="s">
        <v>20</v>
      </c>
      <c r="B55" s="112">
        <f>'I. Datos de entrada'!B97</f>
        <v>0.16062499999999999</v>
      </c>
      <c r="C55" s="99">
        <f>'I. Datos de entrada'!C97</f>
        <v>3.7499999999999999E-2</v>
      </c>
      <c r="D55" s="99">
        <f>'I. Datos de entrada'!D97</f>
        <v>2.4375000000000001E-2</v>
      </c>
      <c r="E55" s="99">
        <f>'I. Datos de entrada'!E97</f>
        <v>5.1217988757026857E-2</v>
      </c>
      <c r="F55" s="100">
        <f>'I. Datos de entrada'!F97</f>
        <v>3.3728919425359154E-2</v>
      </c>
      <c r="H55" s="101">
        <f t="shared" si="6"/>
        <v>0</v>
      </c>
      <c r="I55" s="102">
        <f t="shared" si="7"/>
        <v>19222.05940664326</v>
      </c>
      <c r="J55" s="102">
        <f t="shared" si="8"/>
        <v>3575.5304735576383</v>
      </c>
      <c r="K55" s="102">
        <f t="shared" si="9"/>
        <v>6147.6589364721985</v>
      </c>
      <c r="L55" s="103">
        <f t="shared" si="10"/>
        <v>11121.64607488311</v>
      </c>
    </row>
    <row r="56" spans="1:15" ht="5.2" customHeight="1" thickBot="1" x14ac:dyDescent="0.4">
      <c r="B56" s="104"/>
      <c r="C56" s="104"/>
      <c r="D56" s="104"/>
      <c r="E56" s="104"/>
      <c r="F56" s="104"/>
      <c r="H56" s="105"/>
      <c r="I56" s="105"/>
      <c r="J56" s="105"/>
      <c r="K56" s="105"/>
      <c r="L56" s="105"/>
    </row>
    <row r="57" spans="1:15" ht="18" customHeight="1" thickBot="1" x14ac:dyDescent="0.4">
      <c r="A57" s="48" t="s">
        <v>1</v>
      </c>
      <c r="B57" s="116">
        <f>SUM(B50:B56)</f>
        <v>1</v>
      </c>
      <c r="C57" s="106">
        <f>SUM(C50:C56)</f>
        <v>0.99999999999999989</v>
      </c>
      <c r="D57" s="106">
        <f>SUM(D50:D56)</f>
        <v>1</v>
      </c>
      <c r="E57" s="106">
        <f>SUM(E50:E56)</f>
        <v>1</v>
      </c>
      <c r="F57" s="33">
        <f>SUM(F50:F56)</f>
        <v>1</v>
      </c>
      <c r="H57" s="107">
        <f>SUM(H50:H55)</f>
        <v>0</v>
      </c>
      <c r="I57" s="108">
        <f>SUM(I50:I55)</f>
        <v>512588.25084382028</v>
      </c>
      <c r="J57" s="108">
        <f t="shared" ref="J57:L57" si="11">SUM(J50:J55)</f>
        <v>146688.42968441595</v>
      </c>
      <c r="K57" s="108">
        <f t="shared" si="11"/>
        <v>120029.29216209742</v>
      </c>
      <c r="L57" s="109">
        <f t="shared" si="11"/>
        <v>329736.21047940484</v>
      </c>
    </row>
    <row r="60" spans="1:15" s="325" customFormat="1" ht="30" customHeight="1" x14ac:dyDescent="0.35">
      <c r="A60" s="325" t="s">
        <v>190</v>
      </c>
    </row>
    <row r="61" spans="1:15" ht="13.15" x14ac:dyDescent="0.4">
      <c r="A61" s="81"/>
    </row>
    <row r="62" spans="1:15" s="327" customFormat="1" ht="16.5" x14ac:dyDescent="0.45">
      <c r="A62" s="326" t="s">
        <v>197</v>
      </c>
    </row>
    <row r="63" spans="1:15" ht="13.5" thickBot="1" x14ac:dyDescent="0.45">
      <c r="A63" s="81"/>
    </row>
    <row r="64" spans="1:15" ht="36.75" customHeight="1" x14ac:dyDescent="0.35">
      <c r="A64" s="508" t="s">
        <v>53</v>
      </c>
      <c r="B64" s="509" t="s">
        <v>52</v>
      </c>
      <c r="C64" s="510" t="s">
        <v>15</v>
      </c>
      <c r="D64" s="510" t="s">
        <v>16</v>
      </c>
      <c r="E64" s="510" t="s">
        <v>17</v>
      </c>
      <c r="F64" s="510" t="s">
        <v>18</v>
      </c>
      <c r="G64" s="510" t="s">
        <v>19</v>
      </c>
      <c r="H64" s="511" t="s">
        <v>20</v>
      </c>
      <c r="J64" s="512" t="s">
        <v>15</v>
      </c>
      <c r="K64" s="513" t="s">
        <v>16</v>
      </c>
      <c r="L64" s="513" t="s">
        <v>17</v>
      </c>
      <c r="M64" s="513" t="s">
        <v>18</v>
      </c>
      <c r="N64" s="513" t="s">
        <v>19</v>
      </c>
      <c r="O64" s="514" t="s">
        <v>20</v>
      </c>
    </row>
    <row r="65" spans="1:18" ht="18" x14ac:dyDescent="0.35">
      <c r="A65" s="117" t="s">
        <v>10</v>
      </c>
      <c r="B65" s="53" t="s">
        <v>54</v>
      </c>
      <c r="C65" s="61">
        <f>'IIIa. Coeficientes Potencia'!D9</f>
        <v>1</v>
      </c>
      <c r="D65" s="61">
        <f>'IIIa. Coeficientes Potencia'!E9</f>
        <v>1</v>
      </c>
      <c r="E65" s="61">
        <f>'IIIa. Coeficientes Potencia'!F9</f>
        <v>1</v>
      </c>
      <c r="F65" s="61">
        <f>'IIIa. Coeficientes Potencia'!G9</f>
        <v>1</v>
      </c>
      <c r="G65" s="61">
        <f>'IIIa. Coeficientes Potencia'!H9</f>
        <v>1</v>
      </c>
      <c r="H65" s="67">
        <f>'IIIa. Coeficientes Potencia'!I9</f>
        <v>1</v>
      </c>
      <c r="J65" s="118">
        <f>$H$34*C65</f>
        <v>675403.56352988898</v>
      </c>
      <c r="K65" s="119">
        <f>$H$35*D65</f>
        <v>656037.15310609282</v>
      </c>
      <c r="L65" s="119">
        <f>$H$36*E65</f>
        <v>150089.68078441976</v>
      </c>
      <c r="M65" s="119">
        <f>$H$37*F65</f>
        <v>141616.87622400897</v>
      </c>
      <c r="N65" s="119">
        <f>$H$38*G65</f>
        <v>2420.8013029745125</v>
      </c>
      <c r="O65" s="120">
        <f>$H$39*H65</f>
        <v>311072.96743222483</v>
      </c>
    </row>
    <row r="66" spans="1:18" ht="18" x14ac:dyDescent="0.35">
      <c r="A66" s="594" t="s">
        <v>11</v>
      </c>
      <c r="B66" s="54" t="s">
        <v>55</v>
      </c>
      <c r="C66" s="62">
        <f>'IIIa. Coeficientes Potencia'!D10</f>
        <v>0.28063643491169449</v>
      </c>
      <c r="D66" s="62">
        <f>'IIIa. Coeficientes Potencia'!E10</f>
        <v>0.27540088499896276</v>
      </c>
      <c r="E66" s="62">
        <f>'IIIa. Coeficientes Potencia'!F10</f>
        <v>0.40571359141409913</v>
      </c>
      <c r="F66" s="62">
        <f>'IIIa. Coeficientes Potencia'!G10</f>
        <v>0.40185838974060434</v>
      </c>
      <c r="G66" s="62">
        <f>'IIIa. Coeficientes Potencia'!H10</f>
        <v>0.36521415241705413</v>
      </c>
      <c r="H66" s="68">
        <f>'IIIa. Coeficientes Potencia'!I10</f>
        <v>0.19398436339159919</v>
      </c>
      <c r="J66" s="121">
        <f>$I$34*C66</f>
        <v>156168.17597151676</v>
      </c>
      <c r="K66" s="122">
        <f>$I$35*D66</f>
        <v>149813.75247020903</v>
      </c>
      <c r="L66" s="122">
        <f>$I$36*E66</f>
        <v>81495.900402754036</v>
      </c>
      <c r="M66" s="122">
        <f>$I$37*F66</f>
        <v>71065.821733997465</v>
      </c>
      <c r="N66" s="122">
        <f>$I$38*G66</f>
        <v>702.0168133907481</v>
      </c>
      <c r="O66" s="123">
        <f>$I$39*H66</f>
        <v>11186.336871219581</v>
      </c>
    </row>
    <row r="67" spans="1:18" ht="18" x14ac:dyDescent="0.35">
      <c r="A67" s="596"/>
      <c r="B67" s="55" t="s">
        <v>56</v>
      </c>
      <c r="C67" s="63">
        <f>'IIIa. Coeficientes Potencia'!D11</f>
        <v>0.71936356508830546</v>
      </c>
      <c r="D67" s="63">
        <f>'IIIa. Coeficientes Potencia'!E11</f>
        <v>0.72459911500103713</v>
      </c>
      <c r="E67" s="63">
        <f>'IIIa. Coeficientes Potencia'!F11</f>
        <v>0.59428640858590087</v>
      </c>
      <c r="F67" s="63">
        <f>'IIIa. Coeficientes Potencia'!G11</f>
        <v>0.59814161025939561</v>
      </c>
      <c r="G67" s="63">
        <f>'IIIa. Coeficientes Potencia'!H11</f>
        <v>0.63478584758294576</v>
      </c>
      <c r="H67" s="69">
        <f>'IIIa. Coeficientes Potencia'!I11</f>
        <v>0.80601563660840081</v>
      </c>
      <c r="J67" s="124">
        <f>$I$34*C67</f>
        <v>400310.44385080558</v>
      </c>
      <c r="K67" s="125">
        <f>$I$35*D67</f>
        <v>394170.52873779525</v>
      </c>
      <c r="L67" s="125">
        <f>$I$36*E67</f>
        <v>119374.62039666805</v>
      </c>
      <c r="M67" s="125">
        <f>$I$37*F67</f>
        <v>105777.12480712055</v>
      </c>
      <c r="N67" s="125">
        <f>$I$38*G67</f>
        <v>1220.1891272735779</v>
      </c>
      <c r="O67" s="126">
        <f>$I$39*H67</f>
        <v>46479.841348710201</v>
      </c>
    </row>
    <row r="68" spans="1:18" ht="17.25" x14ac:dyDescent="0.35">
      <c r="A68" s="594" t="s">
        <v>12</v>
      </c>
      <c r="B68" s="54" t="s">
        <v>57</v>
      </c>
      <c r="C68" s="62">
        <f>'IIIa. Coeficientes Potencia'!D12</f>
        <v>0.1546045743690399</v>
      </c>
      <c r="D68" s="62">
        <f>'IIIa. Coeficientes Potencia'!E12</f>
        <v>0.15525738539324563</v>
      </c>
      <c r="E68" s="62">
        <f>'IIIa. Coeficientes Potencia'!F12</f>
        <v>0.20560664142325938</v>
      </c>
      <c r="F68" s="62">
        <f>'IIIa. Coeficientes Potencia'!G12</f>
        <v>0.20756789292929562</v>
      </c>
      <c r="G68" s="62">
        <f>'IIIa. Coeficientes Potencia'!H12</f>
        <v>0.20339795503674968</v>
      </c>
      <c r="H68" s="68">
        <f>'IIIa. Coeficientes Potencia'!I12</f>
        <v>0.13547266632516536</v>
      </c>
      <c r="J68" s="121">
        <f>$J$34*C68</f>
        <v>25258.404615592215</v>
      </c>
      <c r="K68" s="122">
        <f>$J$35*D68</f>
        <v>26432.610028669973</v>
      </c>
      <c r="L68" s="122">
        <f>$J$36*E68</f>
        <v>10970.741963314784</v>
      </c>
      <c r="M68" s="122">
        <f>$J$37*F68</f>
        <v>8734.7149965099507</v>
      </c>
      <c r="N68" s="122">
        <f>$J$38*G68</f>
        <v>55.94273742255421</v>
      </c>
      <c r="O68" s="123">
        <f>$J$39*H68</f>
        <v>1453.1599403392033</v>
      </c>
    </row>
    <row r="69" spans="1:18" ht="17.25" x14ac:dyDescent="0.35">
      <c r="A69" s="595"/>
      <c r="B69" s="54" t="s">
        <v>58</v>
      </c>
      <c r="C69" s="62">
        <f>'IIIa. Coeficientes Potencia'!D13</f>
        <v>0.23717534533539339</v>
      </c>
      <c r="D69" s="62">
        <f>'IIIa. Coeficientes Potencia'!E13</f>
        <v>0.23257160074174232</v>
      </c>
      <c r="E69" s="62">
        <f>'IIIa. Coeficientes Potencia'!F13</f>
        <v>0.32219232354599281</v>
      </c>
      <c r="F69" s="62">
        <f>'IIIa. Coeficientes Potencia'!G13</f>
        <v>0.31834232421484837</v>
      </c>
      <c r="G69" s="62">
        <f>'IIIa. Coeficientes Potencia'!H13</f>
        <v>0.29084266369521439</v>
      </c>
      <c r="H69" s="68">
        <f>'IIIa. Coeficientes Potencia'!I13</f>
        <v>0.16765631996232247</v>
      </c>
      <c r="J69" s="121">
        <f>$J$34*C69</f>
        <v>38748.341449616448</v>
      </c>
      <c r="K69" s="122">
        <f>$J$35*D69</f>
        <v>39595.375193130414</v>
      </c>
      <c r="L69" s="122">
        <f>$J$36*E69</f>
        <v>17191.511031530586</v>
      </c>
      <c r="M69" s="122">
        <f>$J$37*F69</f>
        <v>13396.240787058729</v>
      </c>
      <c r="N69" s="122">
        <f>$J$38*G69</f>
        <v>79.993600542531908</v>
      </c>
      <c r="O69" s="123">
        <f>$J$39*H69</f>
        <v>1798.3808433294414</v>
      </c>
    </row>
    <row r="70" spans="1:18" ht="17.25" x14ac:dyDescent="0.35">
      <c r="A70" s="596"/>
      <c r="B70" s="55" t="s">
        <v>59</v>
      </c>
      <c r="C70" s="63">
        <f>'IIIa. Coeficientes Potencia'!D14</f>
        <v>0.60822008029556662</v>
      </c>
      <c r="D70" s="63">
        <f>'IIIa. Coeficientes Potencia'!E14</f>
        <v>0.61217101386501183</v>
      </c>
      <c r="E70" s="63">
        <f>'IIIa. Coeficientes Potencia'!F14</f>
        <v>0.47220103503074784</v>
      </c>
      <c r="F70" s="63">
        <f>'IIIa. Coeficientes Potencia'!G14</f>
        <v>0.4740897828558559</v>
      </c>
      <c r="G70" s="63">
        <f>'IIIa. Coeficientes Potencia'!H14</f>
        <v>0.50575938126803588</v>
      </c>
      <c r="H70" s="69">
        <f>'IIIa. Coeficientes Potencia'!I14</f>
        <v>0.69687101371251226</v>
      </c>
      <c r="J70" s="124">
        <f>$J$34*C70</f>
        <v>99367.49249580958</v>
      </c>
      <c r="K70" s="125">
        <f>$J$35*D70</f>
        <v>104222.27348067483</v>
      </c>
      <c r="L70" s="125">
        <f>$J$36*E70</f>
        <v>25195.663302860918</v>
      </c>
      <c r="M70" s="125">
        <f>$J$37*F70</f>
        <v>19950.287482148135</v>
      </c>
      <c r="N70" s="125">
        <f>$J$38*G70</f>
        <v>139.10446769319373</v>
      </c>
      <c r="O70" s="126">
        <f>$J$39*H70</f>
        <v>7475.0506370042722</v>
      </c>
    </row>
    <row r="71" spans="1:18" ht="17.25" x14ac:dyDescent="0.35">
      <c r="A71" s="594" t="s">
        <v>13</v>
      </c>
      <c r="B71" s="54" t="s">
        <v>60</v>
      </c>
      <c r="C71" s="62">
        <f>'IIIa. Coeficientes Potencia'!D15</f>
        <v>6.0056815783988561E-2</v>
      </c>
      <c r="D71" s="62">
        <f>'IIIa. Coeficientes Potencia'!E15</f>
        <v>5.8838737295571604E-2</v>
      </c>
      <c r="E71" s="62">
        <f>'IIIa. Coeficientes Potencia'!F15</f>
        <v>9.0256525589405279E-2</v>
      </c>
      <c r="F71" s="62">
        <f>'IIIa. Coeficientes Potencia'!G15</f>
        <v>9.069218870434817E-2</v>
      </c>
      <c r="G71" s="62">
        <f>'IIIa. Coeficientes Potencia'!H15</f>
        <v>9.497939780241374E-2</v>
      </c>
      <c r="H71" s="68">
        <f>'IIIa. Coeficientes Potencia'!I15</f>
        <v>6.6026448448148201E-2</v>
      </c>
      <c r="J71" s="121">
        <f>$K$34*C71</f>
        <v>7766.8928650258013</v>
      </c>
      <c r="K71" s="122">
        <f>$K$35*D71</f>
        <v>7582.896595630913</v>
      </c>
      <c r="L71" s="122">
        <f>$K$36*E71</f>
        <v>4100.597557139894</v>
      </c>
      <c r="M71" s="122">
        <f>$K$37*F71</f>
        <v>3426.8597653131778</v>
      </c>
      <c r="N71" s="122">
        <f>$K$38*G71</f>
        <v>21.362229646856953</v>
      </c>
      <c r="O71" s="123">
        <f>$K$39*H71</f>
        <v>1217.7242575373377</v>
      </c>
    </row>
    <row r="72" spans="1:18" ht="17.25" x14ac:dyDescent="0.35">
      <c r="A72" s="595"/>
      <c r="B72" s="54" t="s">
        <v>61</v>
      </c>
      <c r="C72" s="62">
        <f>'IIIa. Coeficientes Potencia'!D16</f>
        <v>4.8189422196137623E-2</v>
      </c>
      <c r="D72" s="62">
        <f>'IIIa. Coeficientes Potencia'!E16</f>
        <v>4.8039433689426148E-2</v>
      </c>
      <c r="E72" s="62">
        <f>'IIIa. Coeficientes Potencia'!F16</f>
        <v>6.1275150404470645E-2</v>
      </c>
      <c r="F72" s="62">
        <f>'IIIa. Coeficientes Potencia'!G16</f>
        <v>6.170954933606277E-2</v>
      </c>
      <c r="G72" s="62">
        <f>'IIIa. Coeficientes Potencia'!H16</f>
        <v>6.1761249286346361E-2</v>
      </c>
      <c r="H72" s="68">
        <f>'IIIa. Coeficientes Potencia'!I16</f>
        <v>4.2041592642754859E-2</v>
      </c>
      <c r="J72" s="121">
        <f>$K$34*C72</f>
        <v>6232.1332647922818</v>
      </c>
      <c r="K72" s="122">
        <f>$K$35*D72</f>
        <v>6191.1263722344238</v>
      </c>
      <c r="L72" s="122">
        <f>$K$36*E72</f>
        <v>2783.8954626395071</v>
      </c>
      <c r="M72" s="122">
        <f>$K$37*F72</f>
        <v>2331.7330276893322</v>
      </c>
      <c r="N72" s="122">
        <f>$K$38*G72</f>
        <v>13.8909913208376</v>
      </c>
      <c r="O72" s="123">
        <f>$K$39*H72</f>
        <v>775.37211814126726</v>
      </c>
    </row>
    <row r="73" spans="1:18" ht="17.25" x14ac:dyDescent="0.35">
      <c r="A73" s="595"/>
      <c r="B73" s="54" t="s">
        <v>62</v>
      </c>
      <c r="C73" s="62">
        <f>'IIIa. Coeficientes Potencia'!D17</f>
        <v>0.2502357141499959</v>
      </c>
      <c r="D73" s="62">
        <f>'IIIa. Coeficientes Potencia'!E17</f>
        <v>0.24594449209143693</v>
      </c>
      <c r="E73" s="62">
        <f>'IIIa. Coeficientes Potencia'!F17</f>
        <v>0.3442041787561626</v>
      </c>
      <c r="F73" s="62">
        <f>'IIIa. Coeficientes Potencia'!G17</f>
        <v>0.34058380154512391</v>
      </c>
      <c r="G73" s="62">
        <f>'IIIa. Coeficientes Potencia'!H17</f>
        <v>0.30794362696204297</v>
      </c>
      <c r="H73" s="68">
        <f>'IIIa. Coeficientes Potencia'!I17</f>
        <v>0.17300581312197516</v>
      </c>
      <c r="J73" s="121">
        <f>$K$34*C73</f>
        <v>32361.921914021957</v>
      </c>
      <c r="K73" s="122">
        <f>$K$35*D73</f>
        <v>31696.323502419807</v>
      </c>
      <c r="L73" s="122">
        <f>$K$36*E73</f>
        <v>15638.124837485937</v>
      </c>
      <c r="M73" s="122">
        <f>$K$37*F73</f>
        <v>12869.167046317363</v>
      </c>
      <c r="N73" s="122">
        <f>$K$38*G73</f>
        <v>69.260941105714565</v>
      </c>
      <c r="O73" s="123">
        <f>$K$39*H73</f>
        <v>3190.7421993028493</v>
      </c>
    </row>
    <row r="74" spans="1:18" ht="15.75" x14ac:dyDescent="0.35">
      <c r="A74" s="596"/>
      <c r="B74" s="55" t="s">
        <v>63</v>
      </c>
      <c r="C74" s="63">
        <f>'IIIa. Coeficientes Potencia'!D18</f>
        <v>0.64151804786987787</v>
      </c>
      <c r="D74" s="63">
        <f>'IIIa. Coeficientes Potencia'!E18</f>
        <v>0.64717733692356527</v>
      </c>
      <c r="E74" s="63">
        <f>'IIIa. Coeficientes Potencia'!F18</f>
        <v>0.50426414524996133</v>
      </c>
      <c r="F74" s="63">
        <f>'IIIa. Coeficientes Potencia'!G18</f>
        <v>0.50701446041446507</v>
      </c>
      <c r="G74" s="63">
        <f>'IIIa. Coeficientes Potencia'!H18</f>
        <v>0.53531572594919685</v>
      </c>
      <c r="H74" s="69">
        <f>'IIIa. Coeficientes Potencia'!I18</f>
        <v>0.71892614578712177</v>
      </c>
      <c r="J74" s="124">
        <f>$K$34*C74</f>
        <v>82964.803973410468</v>
      </c>
      <c r="K74" s="125">
        <f>$K$35*D74</f>
        <v>83405.576844296695</v>
      </c>
      <c r="L74" s="125">
        <f>$K$36*E74</f>
        <v>22910.081112273103</v>
      </c>
      <c r="M74" s="125">
        <f>$K$37*F74</f>
        <v>19157.851184850715</v>
      </c>
      <c r="N74" s="125">
        <f>$K$38*G74</f>
        <v>120.40018926093961</v>
      </c>
      <c r="O74" s="126">
        <f>$K$39*H74</f>
        <v>13259.138234435142</v>
      </c>
    </row>
    <row r="75" spans="1:18" ht="17.25" x14ac:dyDescent="0.35">
      <c r="A75" s="594" t="s">
        <v>14</v>
      </c>
      <c r="B75" s="54" t="s">
        <v>64</v>
      </c>
      <c r="C75" s="62">
        <f>'IIIa. Coeficientes Potencia'!D19</f>
        <v>7.1900032100880473E-2</v>
      </c>
      <c r="D75" s="62">
        <f>'IIIa. Coeficientes Potencia'!E19</f>
        <v>6.6953892306224963E-2</v>
      </c>
      <c r="E75" s="62">
        <f>'IIIa. Coeficientes Potencia'!F19</f>
        <v>9.7895436661461374E-2</v>
      </c>
      <c r="F75" s="62">
        <f>'IIIa. Coeficientes Potencia'!G19</f>
        <v>0.10911849815111889</v>
      </c>
      <c r="G75" s="62">
        <f>'IIIa. Coeficientes Potencia'!H19</f>
        <v>0.1192134416599679</v>
      </c>
      <c r="H75" s="68">
        <f>'IIIa. Coeficientes Potencia'!I19</f>
        <v>9.3562838627855832E-2</v>
      </c>
      <c r="J75" s="121">
        <f>$L$34*C75</f>
        <v>25455.420261926138</v>
      </c>
      <c r="K75" s="122">
        <f>$L$35*D75</f>
        <v>23869.768543744081</v>
      </c>
      <c r="L75" s="122">
        <f>$L$36*E75</f>
        <v>13972.399452484677</v>
      </c>
      <c r="M75" s="122">
        <f>$L$37*F75</f>
        <v>11124.458736045703</v>
      </c>
      <c r="N75" s="122">
        <f>$L$38*G75</f>
        <v>73.658316972827137</v>
      </c>
      <c r="O75" s="123">
        <f>$L$39*H75</f>
        <v>3121.7183309412444</v>
      </c>
      <c r="P75" s="259"/>
      <c r="R75" s="104"/>
    </row>
    <row r="76" spans="1:18" ht="17.25" x14ac:dyDescent="0.35">
      <c r="A76" s="595"/>
      <c r="B76" s="54" t="s">
        <v>65</v>
      </c>
      <c r="C76" s="62">
        <f>'IIIa. Coeficientes Potencia'!D20</f>
        <v>2.6497266966558984E-2</v>
      </c>
      <c r="D76" s="62">
        <f>'IIIa. Coeficientes Potencia'!E20</f>
        <v>2.644877040796477E-2</v>
      </c>
      <c r="E76" s="62">
        <f>'IIIa. Coeficientes Potencia'!F20</f>
        <v>3.8269572229786809E-2</v>
      </c>
      <c r="F76" s="62">
        <f>'IIIa. Coeficientes Potencia'!G20</f>
        <v>3.7274272122788658E-2</v>
      </c>
      <c r="G76" s="62">
        <f>'IIIa. Coeficientes Potencia'!H20</f>
        <v>4.0196008325166441E-2</v>
      </c>
      <c r="H76" s="68">
        <f>'IIIa. Coeficientes Potencia'!I20</f>
        <v>2.9243937324560328E-2</v>
      </c>
      <c r="J76" s="121">
        <f>$L$34*C76</f>
        <v>9381.0676673947128</v>
      </c>
      <c r="K76" s="122">
        <f>$L$35*D76</f>
        <v>9429.2655162939645</v>
      </c>
      <c r="L76" s="122">
        <f>$L$36*E76</f>
        <v>5462.1315181364225</v>
      </c>
      <c r="M76" s="122">
        <f>$L$37*F76</f>
        <v>3800.0532372782595</v>
      </c>
      <c r="N76" s="122">
        <f>$L$38*G76</f>
        <v>24.835876567530896</v>
      </c>
      <c r="O76" s="123">
        <f>$L$39*H76</f>
        <v>975.72216227947229</v>
      </c>
    </row>
    <row r="77" spans="1:18" ht="17.25" x14ac:dyDescent="0.35">
      <c r="A77" s="595"/>
      <c r="B77" s="54" t="s">
        <v>66</v>
      </c>
      <c r="C77" s="62">
        <f>'IIIa. Coeficientes Potencia'!D21</f>
        <v>5.9155713223477291E-2</v>
      </c>
      <c r="D77" s="62">
        <f>'IIIa. Coeficientes Potencia'!E21</f>
        <v>6.0410578100223586E-2</v>
      </c>
      <c r="E77" s="62">
        <f>'IIIa. Coeficientes Potencia'!F21</f>
        <v>7.3530183169176949E-2</v>
      </c>
      <c r="F77" s="62">
        <f>'IIIa. Coeficientes Potencia'!G21</f>
        <v>7.2743878139669912E-2</v>
      </c>
      <c r="G77" s="62">
        <f>'IIIa. Coeficientes Potencia'!H21</f>
        <v>7.2947929391979069E-2</v>
      </c>
      <c r="H77" s="68">
        <f>'IIIa. Coeficientes Potencia'!I21</f>
        <v>4.8149320362373571E-2</v>
      </c>
      <c r="J77" s="121">
        <f>$L$34*C77</f>
        <v>20943.43350062504</v>
      </c>
      <c r="K77" s="122">
        <f>$L$35*D77</f>
        <v>21537.008039068776</v>
      </c>
      <c r="L77" s="122">
        <f>$L$36*E77</f>
        <v>10494.800637204382</v>
      </c>
      <c r="M77" s="122">
        <f>$L$37*F77</f>
        <v>7416.1236121851553</v>
      </c>
      <c r="N77" s="122">
        <f>$L$38*G77</f>
        <v>45.072280699619675</v>
      </c>
      <c r="O77" s="123">
        <f>$L$39*H77</f>
        <v>1606.4990994494444</v>
      </c>
    </row>
    <row r="78" spans="1:18" ht="17.25" x14ac:dyDescent="0.35">
      <c r="A78" s="595"/>
      <c r="B78" s="54" t="s">
        <v>67</v>
      </c>
      <c r="C78" s="62">
        <f>'IIIa. Coeficientes Potencia'!D22</f>
        <v>0.23639322951648273</v>
      </c>
      <c r="D78" s="62">
        <f>'IIIa. Coeficientes Potencia'!E22</f>
        <v>0.2330128539853803</v>
      </c>
      <c r="E78" s="62">
        <f>'IIIa. Coeficientes Potencia'!F22</f>
        <v>0.32060025932668296</v>
      </c>
      <c r="F78" s="62">
        <f>'IIIa. Coeficientes Potencia'!G22</f>
        <v>0.3137603335922195</v>
      </c>
      <c r="G78" s="62">
        <f>'IIIa. Coeficientes Potencia'!H22</f>
        <v>0.28032250402688086</v>
      </c>
      <c r="H78" s="68">
        <f>'IIIa. Coeficientes Potencia'!I22</f>
        <v>0.16080432876321582</v>
      </c>
      <c r="J78" s="121">
        <f>$L$34*C78</f>
        <v>83692.438356259678</v>
      </c>
      <c r="K78" s="122">
        <f>$L$35*D78</f>
        <v>83071.539245391206</v>
      </c>
      <c r="L78" s="122">
        <f>$L$36*E78</f>
        <v>45758.566902087914</v>
      </c>
      <c r="M78" s="122">
        <f>$L$37*F78</f>
        <v>31987.371006707628</v>
      </c>
      <c r="N78" s="122">
        <f>$L$38*G78</f>
        <v>173.20264870066467</v>
      </c>
      <c r="O78" s="123">
        <f>$L$39*H78</f>
        <v>5365.2264954408975</v>
      </c>
    </row>
    <row r="79" spans="1:18" ht="17.649999999999999" thickBot="1" x14ac:dyDescent="0.4">
      <c r="A79" s="597"/>
      <c r="B79" s="56" t="s">
        <v>68</v>
      </c>
      <c r="C79" s="64">
        <f>'IIIa. Coeficientes Potencia'!D23</f>
        <v>0.60605375819260054</v>
      </c>
      <c r="D79" s="64">
        <f>'IIIa. Coeficientes Potencia'!E23</f>
        <v>0.61317390520020632</v>
      </c>
      <c r="E79" s="64">
        <f>'IIIa. Coeficientes Potencia'!F23</f>
        <v>0.4697045486128919</v>
      </c>
      <c r="F79" s="64">
        <f>'IIIa. Coeficientes Potencia'!G23</f>
        <v>0.46710301799420295</v>
      </c>
      <c r="G79" s="64">
        <f>'IIIa. Coeficientes Potencia'!H23</f>
        <v>0.48732011659600571</v>
      </c>
      <c r="H79" s="70">
        <f>'IIIa. Coeficientes Potencia'!I23</f>
        <v>0.66823957492199448</v>
      </c>
      <c r="J79" s="127">
        <f>$L$34*C79</f>
        <v>214566.70693090677</v>
      </c>
      <c r="K79" s="128">
        <f>$L$35*D79</f>
        <v>218602.96227814382</v>
      </c>
      <c r="L79" s="128">
        <f>$L$36*E79</f>
        <v>67039.892784419833</v>
      </c>
      <c r="M79" s="128">
        <f>$L$37*F79</f>
        <v>47620.415760878415</v>
      </c>
      <c r="N79" s="128">
        <f>$L$38*G79</f>
        <v>301.10010344175254</v>
      </c>
      <c r="O79" s="129">
        <f>$L$39*H79</f>
        <v>22295.772136538275</v>
      </c>
    </row>
    <row r="82" spans="1:15" s="327" customFormat="1" ht="16.5" x14ac:dyDescent="0.45">
      <c r="A82" s="326" t="s">
        <v>198</v>
      </c>
    </row>
    <row r="83" spans="1:15" ht="13.5" thickBot="1" x14ac:dyDescent="0.45">
      <c r="A83" s="81"/>
    </row>
    <row r="84" spans="1:15" ht="36.75" customHeight="1" x14ac:dyDescent="0.35">
      <c r="A84" s="508" t="s">
        <v>53</v>
      </c>
      <c r="B84" s="509" t="s">
        <v>52</v>
      </c>
      <c r="C84" s="510" t="s">
        <v>15</v>
      </c>
      <c r="D84" s="510" t="s">
        <v>16</v>
      </c>
      <c r="E84" s="510" t="s">
        <v>17</v>
      </c>
      <c r="F84" s="510" t="s">
        <v>18</v>
      </c>
      <c r="G84" s="510" t="s">
        <v>19</v>
      </c>
      <c r="H84" s="511" t="s">
        <v>20</v>
      </c>
      <c r="J84" s="512" t="s">
        <v>15</v>
      </c>
      <c r="K84" s="513" t="s">
        <v>16</v>
      </c>
      <c r="L84" s="513" t="s">
        <v>17</v>
      </c>
      <c r="M84" s="513" t="s">
        <v>18</v>
      </c>
      <c r="N84" s="513" t="s">
        <v>19</v>
      </c>
      <c r="O84" s="514" t="s">
        <v>20</v>
      </c>
    </row>
    <row r="85" spans="1:15" ht="18" x14ac:dyDescent="0.35">
      <c r="A85" s="117" t="s">
        <v>10</v>
      </c>
      <c r="B85" s="53" t="s">
        <v>54</v>
      </c>
      <c r="C85" s="61">
        <f>'IIIb. Coeficientes Energía'!D9</f>
        <v>1</v>
      </c>
      <c r="D85" s="61">
        <f>'IIIb. Coeficientes Energía'!E9</f>
        <v>1</v>
      </c>
      <c r="E85" s="61">
        <f>'IIIb. Coeficientes Energía'!F9</f>
        <v>1</v>
      </c>
      <c r="F85" s="61">
        <f>'IIIb. Coeficientes Energía'!G9</f>
        <v>1</v>
      </c>
      <c r="G85" s="61">
        <f>'IIIb. Coeficientes Energía'!H9</f>
        <v>1</v>
      </c>
      <c r="H85" s="67">
        <f>'IIIb. Coeficientes Energía'!I9</f>
        <v>1</v>
      </c>
      <c r="J85" s="118">
        <f>$H$50*C85</f>
        <v>0</v>
      </c>
      <c r="K85" s="119">
        <f>$H$51*D85</f>
        <v>0</v>
      </c>
      <c r="L85" s="119">
        <f>$H$52*E85</f>
        <v>0</v>
      </c>
      <c r="M85" s="119">
        <f>$H$53*F85</f>
        <v>0</v>
      </c>
      <c r="N85" s="119">
        <f>$H$54*G85</f>
        <v>0</v>
      </c>
      <c r="O85" s="120">
        <f>$H$55*H85</f>
        <v>0</v>
      </c>
    </row>
    <row r="86" spans="1:15" ht="18" x14ac:dyDescent="0.35">
      <c r="A86" s="594" t="s">
        <v>11</v>
      </c>
      <c r="B86" s="54" t="s">
        <v>55</v>
      </c>
      <c r="C86" s="62">
        <f>'IIIb. Coeficientes Energía'!D10</f>
        <v>0.34542704917353567</v>
      </c>
      <c r="D86" s="62">
        <f>'IIIb. Coeficientes Energía'!E10</f>
        <v>0.3505580396640437</v>
      </c>
      <c r="E86" s="62">
        <f>'IIIb. Coeficientes Energía'!F10</f>
        <v>0.39239822401043795</v>
      </c>
      <c r="F86" s="62">
        <f>'IIIb. Coeficientes Energía'!G10</f>
        <v>0.39490521999250183</v>
      </c>
      <c r="G86" s="62">
        <f>'IIIb. Coeficientes Energía'!H10</f>
        <v>0.39612724687676054</v>
      </c>
      <c r="H86" s="68">
        <f>'IIIb. Coeficientes Energía'!I10</f>
        <v>0.36835497559075409</v>
      </c>
      <c r="J86" s="121">
        <f>$I$50*C86</f>
        <v>64074.25585779555</v>
      </c>
      <c r="K86" s="122">
        <f>$I$51*D86</f>
        <v>63566.021076110628</v>
      </c>
      <c r="L86" s="122">
        <f>$I$52*E86</f>
        <v>26273.745205914987</v>
      </c>
      <c r="M86" s="122">
        <f>$I$53*F86</f>
        <v>23278.734235980817</v>
      </c>
      <c r="N86" s="122">
        <f>$I$54*G86</f>
        <v>253.81271573517108</v>
      </c>
      <c r="O86" s="123">
        <f>$I$55*H86</f>
        <v>7080.5412235381027</v>
      </c>
    </row>
    <row r="87" spans="1:15" ht="18" x14ac:dyDescent="0.35">
      <c r="A87" s="596"/>
      <c r="B87" s="55" t="s">
        <v>56</v>
      </c>
      <c r="C87" s="63">
        <f>'IIIb. Coeficientes Energía'!D11</f>
        <v>0.65457295082646427</v>
      </c>
      <c r="D87" s="63">
        <f>'IIIb. Coeficientes Energía'!E11</f>
        <v>0.64944196033595625</v>
      </c>
      <c r="E87" s="63">
        <f>'IIIb. Coeficientes Energía'!F11</f>
        <v>0.60760177598956211</v>
      </c>
      <c r="F87" s="63">
        <f>'IIIb. Coeficientes Energía'!G11</f>
        <v>0.60509478000749817</v>
      </c>
      <c r="G87" s="63">
        <f>'IIIb. Coeficientes Energía'!H11</f>
        <v>0.60387275312323951</v>
      </c>
      <c r="H87" s="69">
        <f>'IIIb. Coeficientes Energía'!I11</f>
        <v>0.63164502440924575</v>
      </c>
      <c r="J87" s="124">
        <f>$I$50*C87</f>
        <v>121418.61741631193</v>
      </c>
      <c r="K87" s="125">
        <f>$I$51*D87</f>
        <v>117762.07265989081</v>
      </c>
      <c r="L87" s="125">
        <f>$I$52*E87</f>
        <v>40683.095060559048</v>
      </c>
      <c r="M87" s="125">
        <f>$I$53*F87</f>
        <v>35668.914611058521</v>
      </c>
      <c r="N87" s="125">
        <f>$I$54*G87</f>
        <v>386.92259781960433</v>
      </c>
      <c r="O87" s="126">
        <f>$I$55*H87</f>
        <v>12141.518183105154</v>
      </c>
    </row>
    <row r="88" spans="1:15" ht="17.25" x14ac:dyDescent="0.35">
      <c r="A88" s="594" t="s">
        <v>12</v>
      </c>
      <c r="B88" s="54" t="s">
        <v>57</v>
      </c>
      <c r="C88" s="62">
        <f>'IIIb. Coeficientes Energía'!D12</f>
        <v>0.18861973100435941</v>
      </c>
      <c r="D88" s="62">
        <f>'IIIb. Coeficientes Energía'!E12</f>
        <v>0.20118536253611852</v>
      </c>
      <c r="E88" s="62">
        <f>'IIIb. Coeficientes Energía'!F12</f>
        <v>0.21494150205196724</v>
      </c>
      <c r="F88" s="62">
        <f>'IIIb. Coeficientes Energía'!G12</f>
        <v>0.22121530412529553</v>
      </c>
      <c r="G88" s="62">
        <f>'IIIb. Coeficientes Energía'!H12</f>
        <v>0.2314411255741036</v>
      </c>
      <c r="H88" s="68">
        <f>'IIIb. Coeficientes Energía'!I12</f>
        <v>0.23168323344444436</v>
      </c>
      <c r="J88" s="121">
        <f>$J$50*C88</f>
        <v>10271.868310140435</v>
      </c>
      <c r="K88" s="122">
        <f>$J$51*D88</f>
        <v>11417.286672975149</v>
      </c>
      <c r="L88" s="122">
        <f>$J$52*E88</f>
        <v>3822.9435584640446</v>
      </c>
      <c r="M88" s="122">
        <f>$J$53*F88</f>
        <v>3103.0050089986967</v>
      </c>
      <c r="N88" s="122">
        <f>$J$54*G88</f>
        <v>21.218584546786857</v>
      </c>
      <c r="O88" s="123">
        <f>$J$55*H88</f>
        <v>828.39046139297898</v>
      </c>
    </row>
    <row r="89" spans="1:15" ht="17.25" x14ac:dyDescent="0.35">
      <c r="A89" s="595"/>
      <c r="B89" s="54" t="s">
        <v>58</v>
      </c>
      <c r="C89" s="62">
        <f>'IIIb. Coeficientes Energía'!D13</f>
        <v>0.28018799549985302</v>
      </c>
      <c r="D89" s="62">
        <f>'IIIb. Coeficientes Energía'!E13</f>
        <v>0.27994596821830586</v>
      </c>
      <c r="E89" s="62">
        <f>'IIIb. Coeficientes Energía'!F13</f>
        <v>0.30795946311082967</v>
      </c>
      <c r="F89" s="62">
        <f>'IIIb. Coeficientes Energía'!G13</f>
        <v>0.30745053250727128</v>
      </c>
      <c r="G89" s="62">
        <f>'IIIb. Coeficientes Energía'!H13</f>
        <v>0.30435526073410374</v>
      </c>
      <c r="H89" s="68">
        <f>'IIIb. Coeficientes Energía'!I13</f>
        <v>0.28293035349587797</v>
      </c>
      <c r="J89" s="121">
        <f>$J$50*C89</f>
        <v>15258.500139575497</v>
      </c>
      <c r="K89" s="122">
        <f>$J$51*D89</f>
        <v>15886.957837293829</v>
      </c>
      <c r="L89" s="122">
        <f>$J$52*E89</f>
        <v>5477.3584185847394</v>
      </c>
      <c r="M89" s="122">
        <f>$J$53*F89</f>
        <v>4312.6335502042202</v>
      </c>
      <c r="N89" s="122">
        <f>$J$54*G89</f>
        <v>27.903372039547907</v>
      </c>
      <c r="O89" s="123">
        <f>$J$55*H89</f>
        <v>1011.6261008189466</v>
      </c>
    </row>
    <row r="90" spans="1:15" ht="17.25" x14ac:dyDescent="0.35">
      <c r="A90" s="596"/>
      <c r="B90" s="55" t="s">
        <v>59</v>
      </c>
      <c r="C90" s="63">
        <f>'IIIb. Coeficientes Energía'!D14</f>
        <v>0.53119227349578746</v>
      </c>
      <c r="D90" s="63">
        <f>'IIIb. Coeficientes Energía'!E14</f>
        <v>0.51886866924557551</v>
      </c>
      <c r="E90" s="63">
        <f>'IIIb. Coeficientes Energía'!F14</f>
        <v>0.47709903483720306</v>
      </c>
      <c r="F90" s="63">
        <f>'IIIb. Coeficientes Energía'!G14</f>
        <v>0.47133416336743322</v>
      </c>
      <c r="G90" s="63">
        <f>'IIIb. Coeficientes Energía'!H14</f>
        <v>0.46420361369179269</v>
      </c>
      <c r="H90" s="69">
        <f>'IIIb. Coeficientes Energía'!I14</f>
        <v>0.4853864130596775</v>
      </c>
      <c r="J90" s="124">
        <f>$J$50*C90</f>
        <v>28927.711070623478</v>
      </c>
      <c r="K90" s="125">
        <f>$J$51*D90</f>
        <v>29445.841723889429</v>
      </c>
      <c r="L90" s="125">
        <f>$J$52*E90</f>
        <v>8485.670122186646</v>
      </c>
      <c r="M90" s="125">
        <f>$J$53*F90</f>
        <v>6611.4425293693566</v>
      </c>
      <c r="N90" s="125">
        <f>$J$54*G90</f>
        <v>42.558311966425194</v>
      </c>
      <c r="O90" s="126">
        <f>$J$55*H90</f>
        <v>1735.5139113457121</v>
      </c>
    </row>
    <row r="91" spans="1:15" ht="17.25" x14ac:dyDescent="0.35">
      <c r="A91" s="594" t="s">
        <v>13</v>
      </c>
      <c r="B91" s="54" t="s">
        <v>60</v>
      </c>
      <c r="C91" s="62">
        <f>'IIIb. Coeficientes Energía'!D15</f>
        <v>8.1404977949831939E-2</v>
      </c>
      <c r="D91" s="62">
        <f>'IIIb. Coeficientes Energía'!E15</f>
        <v>8.7993583006148041E-2</v>
      </c>
      <c r="E91" s="62">
        <f>'IIIb. Coeficientes Energía'!F15</f>
        <v>9.6913071245521842E-2</v>
      </c>
      <c r="F91" s="62">
        <f>'IIIb. Coeficientes Energía'!G15</f>
        <v>0.100418347628713</v>
      </c>
      <c r="G91" s="62">
        <f>'IIIb. Coeficientes Energía'!H15</f>
        <v>0.10688686225374382</v>
      </c>
      <c r="H91" s="68">
        <f>'IIIb. Coeficientes Energía'!I15</f>
        <v>0.122682367300239</v>
      </c>
      <c r="J91" s="121">
        <f>$K$50*C91</f>
        <v>3509.2533304365702</v>
      </c>
      <c r="K91" s="122">
        <f>$K$51*D91</f>
        <v>3780.0847518918754</v>
      </c>
      <c r="L91" s="122">
        <f>$K$52*E91</f>
        <v>1467.6741307037421</v>
      </c>
      <c r="M91" s="122">
        <f>$K$53*F91</f>
        <v>1264.7895410628307</v>
      </c>
      <c r="N91" s="122">
        <f>$K$54*G91</f>
        <v>8.0134630966548901</v>
      </c>
      <c r="O91" s="123">
        <f>$K$55*H91</f>
        <v>754.20935168087897</v>
      </c>
    </row>
    <row r="92" spans="1:15" ht="17.25" x14ac:dyDescent="0.35">
      <c r="A92" s="595"/>
      <c r="B92" s="54" t="s">
        <v>61</v>
      </c>
      <c r="C92" s="62">
        <f>'IIIb. Coeficientes Energía'!D16</f>
        <v>5.755045388920229E-2</v>
      </c>
      <c r="D92" s="62">
        <f>'IIIb. Coeficientes Energía'!E16</f>
        <v>6.1654251114006603E-2</v>
      </c>
      <c r="E92" s="62">
        <f>'IIIb. Coeficientes Energía'!F16</f>
        <v>6.5057883785356693E-2</v>
      </c>
      <c r="F92" s="62">
        <f>'IIIb. Coeficientes Energía'!G16</f>
        <v>6.6998675682227019E-2</v>
      </c>
      <c r="G92" s="62">
        <f>'IIIb. Coeficientes Energía'!H16</f>
        <v>7.0375147986936643E-2</v>
      </c>
      <c r="H92" s="68">
        <f>'IIIb. Coeficientes Energía'!I16</f>
        <v>6.9525772151461399E-2</v>
      </c>
      <c r="J92" s="121">
        <f>$K$50*C92</f>
        <v>2480.9185760517285</v>
      </c>
      <c r="K92" s="122">
        <f>$K$51*D92</f>
        <v>2648.5828461955621</v>
      </c>
      <c r="L92" s="122">
        <f>$K$52*E92</f>
        <v>985.2517498717757</v>
      </c>
      <c r="M92" s="122">
        <f>$K$53*F92</f>
        <v>843.86196615439565</v>
      </c>
      <c r="N92" s="122">
        <f>$K$54*G92</f>
        <v>5.2761269198468836</v>
      </c>
      <c r="O92" s="123">
        <f>$K$55*H92</f>
        <v>427.42073448206156</v>
      </c>
    </row>
    <row r="93" spans="1:15" ht="17.25" x14ac:dyDescent="0.35">
      <c r="A93" s="595"/>
      <c r="B93" s="54" t="s">
        <v>62</v>
      </c>
      <c r="C93" s="62">
        <f>'IIIb. Coeficientes Energía'!D17</f>
        <v>0.29740224230532497</v>
      </c>
      <c r="D93" s="62">
        <f>'IIIb. Coeficientes Energía'!E17</f>
        <v>0.29807176256316964</v>
      </c>
      <c r="E93" s="62">
        <f>'IIIb. Coeficientes Energía'!F17</f>
        <v>0.32881202247873786</v>
      </c>
      <c r="F93" s="62">
        <f>'IIIb. Coeficientes Energía'!G17</f>
        <v>0.32876240677724822</v>
      </c>
      <c r="G93" s="62">
        <f>'IIIb. Coeficientes Energía'!H17</f>
        <v>0.32588100554194122</v>
      </c>
      <c r="H93" s="68">
        <f>'IIIb. Coeficientes Energía'!I17</f>
        <v>0.29752925853843104</v>
      </c>
      <c r="J93" s="121">
        <f>$K$50*C93</f>
        <v>12820.589545917568</v>
      </c>
      <c r="K93" s="122">
        <f>$K$51*D93</f>
        <v>12804.757871444432</v>
      </c>
      <c r="L93" s="122">
        <f>$K$52*E93</f>
        <v>4979.6058782805358</v>
      </c>
      <c r="M93" s="122">
        <f>$K$53*F93</f>
        <v>4140.8294739517487</v>
      </c>
      <c r="N93" s="122">
        <f>$K$54*G93</f>
        <v>24.431771657883669</v>
      </c>
      <c r="O93" s="123">
        <f>$K$55*H93</f>
        <v>1829.1084051157327</v>
      </c>
    </row>
    <row r="94" spans="1:15" ht="15.75" x14ac:dyDescent="0.35">
      <c r="A94" s="596"/>
      <c r="B94" s="55" t="s">
        <v>63</v>
      </c>
      <c r="C94" s="63">
        <f>'IIIb. Coeficientes Energía'!D18</f>
        <v>0.56364232585564078</v>
      </c>
      <c r="D94" s="63">
        <f>'IIIb. Coeficientes Energía'!E18</f>
        <v>0.55228040331667561</v>
      </c>
      <c r="E94" s="63">
        <f>'IIIb. Coeficientes Energía'!F18</f>
        <v>0.5092170224903837</v>
      </c>
      <c r="F94" s="63">
        <f>'IIIb. Coeficientes Energía'!G18</f>
        <v>0.50382056991181157</v>
      </c>
      <c r="G94" s="63">
        <f>'IIIb. Coeficientes Energía'!H18</f>
        <v>0.49685698421737834</v>
      </c>
      <c r="H94" s="69">
        <f>'IIIb. Coeficientes Energía'!I18</f>
        <v>0.51026260200986828</v>
      </c>
      <c r="J94" s="124">
        <f>$K$50*C94</f>
        <v>24297.8225533443</v>
      </c>
      <c r="K94" s="125">
        <f>$K$51*D94</f>
        <v>23725.215635328736</v>
      </c>
      <c r="L94" s="125">
        <f>$K$52*E94</f>
        <v>7711.7012309900965</v>
      </c>
      <c r="M94" s="125">
        <f>$K$53*F94</f>
        <v>6345.7226935545514</v>
      </c>
      <c r="N94" s="125">
        <f>$K$54*G94</f>
        <v>37.250088770397461</v>
      </c>
      <c r="O94" s="126">
        <f>$K$55*H94</f>
        <v>3136.9204451935234</v>
      </c>
    </row>
    <row r="95" spans="1:15" ht="17.25" x14ac:dyDescent="0.35">
      <c r="A95" s="594" t="s">
        <v>14</v>
      </c>
      <c r="B95" s="54" t="s">
        <v>64</v>
      </c>
      <c r="C95" s="62">
        <f>'IIIb. Coeficientes Energía'!D19</f>
        <v>9.1036227711661366E-2</v>
      </c>
      <c r="D95" s="62">
        <f>'IIIb. Coeficientes Energía'!E19</f>
        <v>0.10384716691290757</v>
      </c>
      <c r="E95" s="62">
        <f>'IIIb. Coeficientes Energía'!F19</f>
        <v>0.11265926709094508</v>
      </c>
      <c r="F95" s="62">
        <f>'IIIb. Coeficientes Energía'!G19</f>
        <v>0.11885845310313194</v>
      </c>
      <c r="G95" s="62">
        <f>'IIIb. Coeficientes Energía'!H19</f>
        <v>0.13232930588274811</v>
      </c>
      <c r="H95" s="68">
        <f>'IIIb. Coeficientes Energía'!I19</f>
        <v>0.15529282758693699</v>
      </c>
      <c r="J95" s="121">
        <f>$L$50*C95</f>
        <v>10743.460365494369</v>
      </c>
      <c r="K95" s="122">
        <f>$L$51*D95</f>
        <v>12340.869976597302</v>
      </c>
      <c r="L95" s="122">
        <f>$L$52*E95</f>
        <v>5359.8694535763179</v>
      </c>
      <c r="M95" s="122">
        <f>$L$53*F95</f>
        <v>4039.1439257312168</v>
      </c>
      <c r="N95" s="122">
        <f>$L$54*G95</f>
        <v>27.25406861783096</v>
      </c>
      <c r="O95" s="123">
        <f>$L$55*H95</f>
        <v>1727.1118663897573</v>
      </c>
    </row>
    <row r="96" spans="1:15" ht="17.25" x14ac:dyDescent="0.35">
      <c r="A96" s="595"/>
      <c r="B96" s="54" t="s">
        <v>65</v>
      </c>
      <c r="C96" s="62">
        <f>'IIIb. Coeficientes Energía'!D20</f>
        <v>3.4320752451543861E-2</v>
      </c>
      <c r="D96" s="62">
        <f>'IIIb. Coeficientes Energía'!E20</f>
        <v>3.6871464292270451E-2</v>
      </c>
      <c r="E96" s="62">
        <f>'IIIb. Coeficientes Energía'!F20</f>
        <v>4.1023581179183859E-2</v>
      </c>
      <c r="F96" s="62">
        <f>'IIIb. Coeficientes Energía'!G20</f>
        <v>4.2295165186208676E-2</v>
      </c>
      <c r="G96" s="62">
        <f>'IIIb. Coeficientes Energía'!H20</f>
        <v>4.4288717672038652E-2</v>
      </c>
      <c r="H96" s="68">
        <f>'IIIb. Coeficientes Energía'!I20</f>
        <v>5.010114919644075E-2</v>
      </c>
      <c r="J96" s="121">
        <f>$L$50*C96</f>
        <v>4050.2957223245444</v>
      </c>
      <c r="K96" s="122">
        <f>$L$51*D96</f>
        <v>4381.6885930000553</v>
      </c>
      <c r="L96" s="122">
        <f>$L$52*E96</f>
        <v>1951.7350442295635</v>
      </c>
      <c r="M96" s="122">
        <f>$L$53*F96</f>
        <v>1437.3084546325097</v>
      </c>
      <c r="N96" s="122">
        <f>$L$54*G96</f>
        <v>9.121545241830276</v>
      </c>
      <c r="O96" s="123">
        <f>$L$55*H96</f>
        <v>557.20724930772838</v>
      </c>
    </row>
    <row r="97" spans="1:15" ht="17.25" x14ac:dyDescent="0.35">
      <c r="A97" s="595"/>
      <c r="B97" s="54" t="s">
        <v>66</v>
      </c>
      <c r="C97" s="62">
        <f>'IIIb. Coeficientes Energía'!D21</f>
        <v>7.1049233685492472E-2</v>
      </c>
      <c r="D97" s="62">
        <f>'IIIb. Coeficientes Energía'!E21</f>
        <v>7.4734456037790761E-2</v>
      </c>
      <c r="E97" s="62">
        <f>'IIIb. Coeficientes Energía'!F21</f>
        <v>7.8496497506086671E-2</v>
      </c>
      <c r="F97" s="62">
        <f>'IIIb. Coeficientes Energía'!G21</f>
        <v>8.03003011244669E-2</v>
      </c>
      <c r="G97" s="62">
        <f>'IIIb. Coeficientes Energía'!H21</f>
        <v>8.2520731831404542E-2</v>
      </c>
      <c r="H97" s="68">
        <f>'IIIb. Coeficientes Energía'!I21</f>
        <v>7.9699348101854889E-2</v>
      </c>
      <c r="J97" s="121">
        <f>$L$50*C97</f>
        <v>8384.7347949925916</v>
      </c>
      <c r="K97" s="122">
        <f>$L$51*D97</f>
        <v>8881.2071831250705</v>
      </c>
      <c r="L97" s="122">
        <f>$L$52*E97</f>
        <v>3734.5439044616292</v>
      </c>
      <c r="M97" s="122">
        <f>$L$53*F97</f>
        <v>2728.8296713726249</v>
      </c>
      <c r="N97" s="122">
        <f>$L$54*G97</f>
        <v>16.995673579059666</v>
      </c>
      <c r="O97" s="123">
        <f>$L$55*H97</f>
        <v>886.38794198773712</v>
      </c>
    </row>
    <row r="98" spans="1:15" ht="17.25" x14ac:dyDescent="0.35">
      <c r="A98" s="595"/>
      <c r="B98" s="54" t="s">
        <v>67</v>
      </c>
      <c r="C98" s="62">
        <f>'IIIb. Coeficientes Energía'!D22</f>
        <v>0.27755112679875171</v>
      </c>
      <c r="D98" s="62">
        <f>'IIIb. Coeficientes Energía'!E22</f>
        <v>0.27499768056197682</v>
      </c>
      <c r="E98" s="62">
        <f>'IIIb. Coeficientes Energía'!F22</f>
        <v>0.30125636643034176</v>
      </c>
      <c r="F98" s="62">
        <f>'IIIb. Coeficientes Energía'!G22</f>
        <v>0.29951910107831281</v>
      </c>
      <c r="G98" s="62">
        <f>'IIIb. Coeficientes Energía'!H22</f>
        <v>0.29344257578001076</v>
      </c>
      <c r="H98" s="68">
        <f>'IIIb. Coeficientes Energía'!I22</f>
        <v>0.26331089584713813</v>
      </c>
      <c r="J98" s="121">
        <f>$L$50*C98</f>
        <v>32754.647299370987</v>
      </c>
      <c r="K98" s="122">
        <f>$L$51*D98</f>
        <v>32679.857530705325</v>
      </c>
      <c r="L98" s="122">
        <f>$L$52*E98</f>
        <v>14332.551931319664</v>
      </c>
      <c r="M98" s="122">
        <f>$L$53*F98</f>
        <v>10178.499939850413</v>
      </c>
      <c r="N98" s="122">
        <f>$L$54*G98</f>
        <v>60.436379094950851</v>
      </c>
      <c r="O98" s="123">
        <f>$L$55*H98</f>
        <v>2928.4505912722793</v>
      </c>
    </row>
    <row r="99" spans="1:15" ht="17.649999999999999" thickBot="1" x14ac:dyDescent="0.4">
      <c r="A99" s="597"/>
      <c r="B99" s="56" t="s">
        <v>68</v>
      </c>
      <c r="C99" s="64">
        <f>'IIIb. Coeficientes Energía'!D23</f>
        <v>0.52604265935255057</v>
      </c>
      <c r="D99" s="64">
        <f>'IIIb. Coeficientes Energía'!E23</f>
        <v>0.50954923219505432</v>
      </c>
      <c r="E99" s="64">
        <f>'IIIb. Coeficientes Energía'!F23</f>
        <v>0.46656428779344261</v>
      </c>
      <c r="F99" s="64">
        <f>'IIIb. Coeficientes Energía'!G23</f>
        <v>0.45902697950787963</v>
      </c>
      <c r="G99" s="64">
        <f>'IIIb. Coeficientes Energía'!H23</f>
        <v>0.44741866883379811</v>
      </c>
      <c r="H99" s="70">
        <f>'IIIb. Coeficientes Energía'!I23</f>
        <v>0.45159577926762906</v>
      </c>
      <c r="J99" s="127">
        <f>$L$50*C99</f>
        <v>62079.884056854949</v>
      </c>
      <c r="K99" s="128">
        <f>$L$51*D99</f>
        <v>60553.224590786194</v>
      </c>
      <c r="L99" s="128">
        <f>$L$52*E99</f>
        <v>22197.230097857235</v>
      </c>
      <c r="M99" s="128">
        <f>$L$53*F99</f>
        <v>15599.025459444958</v>
      </c>
      <c r="N99" s="128">
        <f>$L$54*G99</f>
        <v>92.148742260459926</v>
      </c>
      <c r="O99" s="129">
        <f>$L$55*H99</f>
        <v>5022.488425925606</v>
      </c>
    </row>
  </sheetData>
  <mergeCells count="18"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  <mergeCell ref="A91:A94"/>
    <mergeCell ref="A95:A99"/>
    <mergeCell ref="A66:A67"/>
    <mergeCell ref="A68:A70"/>
    <mergeCell ref="A71:A74"/>
    <mergeCell ref="A75:A79"/>
    <mergeCell ref="A86:A87"/>
    <mergeCell ref="A88:A9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B106"/>
  <sheetViews>
    <sheetView showGridLines="0" workbookViewId="0">
      <selection activeCell="D98" sqref="D98"/>
    </sheetView>
  </sheetViews>
  <sheetFormatPr baseColWidth="10" defaultRowHeight="12.75" x14ac:dyDescent="0.35"/>
  <cols>
    <col min="2" max="2" width="14.19921875" customWidth="1"/>
    <col min="3" max="3" width="15.46484375" customWidth="1"/>
    <col min="4" max="4" width="17" customWidth="1"/>
    <col min="5" max="5" width="13.265625" customWidth="1"/>
    <col min="6" max="6" width="13.73046875" bestFit="1" customWidth="1"/>
    <col min="7" max="7" width="18.46484375" customWidth="1"/>
    <col min="8" max="8" width="2.265625" customWidth="1"/>
    <col min="9" max="9" width="15.53125" customWidth="1"/>
    <col min="10" max="12" width="12.796875" bestFit="1" customWidth="1"/>
    <col min="13" max="13" width="11.796875" bestFit="1" customWidth="1"/>
    <col min="14" max="14" width="12.796875" bestFit="1" customWidth="1"/>
    <col min="15" max="15" width="5.46484375" customWidth="1"/>
    <col min="16" max="16" width="12.796875" bestFit="1" customWidth="1"/>
    <col min="22" max="22" width="2.1992187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25" customFormat="1" ht="30" customHeight="1" x14ac:dyDescent="0.35">
      <c r="A6" s="325" t="s">
        <v>191</v>
      </c>
    </row>
    <row r="7" spans="1:14" s="5" customFormat="1" ht="16.5" customHeight="1" x14ac:dyDescent="0.35">
      <c r="A7" s="5" t="s">
        <v>201</v>
      </c>
    </row>
    <row r="8" spans="1:14" ht="5.2" customHeight="1" thickBot="1" x14ac:dyDescent="0.4"/>
    <row r="9" spans="1:14" ht="25.5" customHeight="1" thickBot="1" x14ac:dyDescent="0.4">
      <c r="B9" s="253" t="s">
        <v>95</v>
      </c>
      <c r="C9" s="142"/>
      <c r="D9" s="142"/>
      <c r="E9" s="142"/>
      <c r="F9" s="142"/>
      <c r="G9" s="143"/>
      <c r="I9" s="253" t="s">
        <v>96</v>
      </c>
      <c r="J9" s="142"/>
      <c r="K9" s="142"/>
      <c r="L9" s="142"/>
      <c r="M9" s="142"/>
      <c r="N9" s="143"/>
    </row>
    <row r="10" spans="1:14" ht="13.15" thickBot="1" x14ac:dyDescent="0.4"/>
    <row r="11" spans="1:14" ht="25.05" customHeight="1" x14ac:dyDescent="0.35">
      <c r="A11" s="614" t="s">
        <v>53</v>
      </c>
      <c r="B11" s="515" t="s">
        <v>104</v>
      </c>
      <c r="C11" s="515"/>
      <c r="D11" s="515"/>
      <c r="E11" s="515"/>
      <c r="F11" s="515"/>
      <c r="G11" s="516"/>
      <c r="I11" s="561" t="s">
        <v>104</v>
      </c>
      <c r="J11" s="515"/>
      <c r="K11" s="515"/>
      <c r="L11" s="515"/>
      <c r="M11" s="515"/>
      <c r="N11" s="516"/>
    </row>
    <row r="12" spans="1:14" ht="25.05" customHeight="1" x14ac:dyDescent="0.35">
      <c r="A12" s="615"/>
      <c r="B12" s="517" t="s">
        <v>15</v>
      </c>
      <c r="C12" s="517" t="s">
        <v>16</v>
      </c>
      <c r="D12" s="517" t="s">
        <v>17</v>
      </c>
      <c r="E12" s="517" t="s">
        <v>18</v>
      </c>
      <c r="F12" s="517" t="s">
        <v>19</v>
      </c>
      <c r="G12" s="518" t="s">
        <v>20</v>
      </c>
      <c r="I12" s="562" t="s">
        <v>15</v>
      </c>
      <c r="J12" s="517" t="s">
        <v>16</v>
      </c>
      <c r="K12" s="517" t="s">
        <v>17</v>
      </c>
      <c r="L12" s="517" t="s">
        <v>18</v>
      </c>
      <c r="M12" s="517" t="s">
        <v>19</v>
      </c>
      <c r="N12" s="518" t="s">
        <v>20</v>
      </c>
    </row>
    <row r="13" spans="1:14" ht="15" customHeight="1" x14ac:dyDescent="0.35">
      <c r="A13" s="132" t="s">
        <v>10</v>
      </c>
      <c r="B13" s="133">
        <f>'IV. Metodología de asignación'!J79</f>
        <v>214566.70693090677</v>
      </c>
      <c r="C13" s="133">
        <f>'IV. Metodología de asignación'!K79</f>
        <v>218602.96227814382</v>
      </c>
      <c r="D13" s="133">
        <f>'IV. Metodología de asignación'!L79</f>
        <v>67039.892784419833</v>
      </c>
      <c r="E13" s="133">
        <f>'IV. Metodología de asignación'!M79</f>
        <v>47620.415760878415</v>
      </c>
      <c r="F13" s="133">
        <f>'IV. Metodología de asignación'!N79</f>
        <v>301.10010344175254</v>
      </c>
      <c r="G13" s="134">
        <f>'IV. Metodología de asignación'!O79</f>
        <v>22295.772136538275</v>
      </c>
      <c r="I13" s="144">
        <f>'IV. Metodología de asignación'!J99</f>
        <v>62079.884056854949</v>
      </c>
      <c r="J13" s="133">
        <f>'IV. Metodología de asignación'!K99</f>
        <v>60553.224590786194</v>
      </c>
      <c r="K13" s="133">
        <f>'IV. Metodología de asignación'!L99</f>
        <v>22197.230097857235</v>
      </c>
      <c r="L13" s="133">
        <f>'IV. Metodología de asignación'!M99</f>
        <v>15599.025459444958</v>
      </c>
      <c r="M13" s="133">
        <f>'IV. Metodología de asignación'!N99</f>
        <v>92.148742260459926</v>
      </c>
      <c r="N13" s="134">
        <f>'IV. Metodología de asignación'!O99</f>
        <v>5022.488425925606</v>
      </c>
    </row>
    <row r="14" spans="1:14" ht="15" customHeight="1" x14ac:dyDescent="0.35">
      <c r="A14" s="135" t="s">
        <v>11</v>
      </c>
      <c r="B14" s="136">
        <f>'IV. Metodología de asignación'!J78</f>
        <v>83692.438356259678</v>
      </c>
      <c r="C14" s="136">
        <f>'IV. Metodología de asignación'!K78</f>
        <v>83071.539245391206</v>
      </c>
      <c r="D14" s="136">
        <f>'IV. Metodología de asignación'!L78</f>
        <v>45758.566902087914</v>
      </c>
      <c r="E14" s="136">
        <f>'IV. Metodología de asignación'!M78</f>
        <v>31987.371006707628</v>
      </c>
      <c r="F14" s="136">
        <f>'IV. Metodología de asignación'!N78</f>
        <v>173.20264870066467</v>
      </c>
      <c r="G14" s="137">
        <f>'IV. Metodología de asignación'!O78</f>
        <v>5365.2264954408975</v>
      </c>
      <c r="I14" s="145">
        <f>'IV. Metodología de asignación'!J98</f>
        <v>32754.647299370987</v>
      </c>
      <c r="J14" s="136">
        <f>'IV. Metodología de asignación'!K98</f>
        <v>32679.857530705325</v>
      </c>
      <c r="K14" s="136">
        <f>'IV. Metodología de asignación'!L98</f>
        <v>14332.551931319664</v>
      </c>
      <c r="L14" s="136">
        <f>'IV. Metodología de asignación'!M98</f>
        <v>10178.499939850413</v>
      </c>
      <c r="M14" s="136">
        <f>'IV. Metodología de asignación'!N98</f>
        <v>60.436379094950851</v>
      </c>
      <c r="N14" s="137">
        <f>'IV. Metodología de asignación'!O98</f>
        <v>2928.4505912722793</v>
      </c>
    </row>
    <row r="15" spans="1:14" ht="15" customHeight="1" x14ac:dyDescent="0.35">
      <c r="A15" s="135" t="s">
        <v>12</v>
      </c>
      <c r="B15" s="136">
        <f>'IV. Metodología de asignación'!J77</f>
        <v>20943.43350062504</v>
      </c>
      <c r="C15" s="136">
        <f>'IV. Metodología de asignación'!K77</f>
        <v>21537.008039068776</v>
      </c>
      <c r="D15" s="136">
        <f>'IV. Metodología de asignación'!L77</f>
        <v>10494.800637204382</v>
      </c>
      <c r="E15" s="136">
        <f>'IV. Metodología de asignación'!M77</f>
        <v>7416.1236121851553</v>
      </c>
      <c r="F15" s="136">
        <f>'IV. Metodología de asignación'!N77</f>
        <v>45.072280699619675</v>
      </c>
      <c r="G15" s="137">
        <f>'IV. Metodología de asignación'!O77</f>
        <v>1606.4990994494444</v>
      </c>
      <c r="I15" s="145">
        <f>'IV. Metodología de asignación'!J97</f>
        <v>8384.7347949925916</v>
      </c>
      <c r="J15" s="136">
        <f>'IV. Metodología de asignación'!K97</f>
        <v>8881.2071831250705</v>
      </c>
      <c r="K15" s="136">
        <f>'IV. Metodología de asignación'!L97</f>
        <v>3734.5439044616292</v>
      </c>
      <c r="L15" s="136">
        <f>'IV. Metodología de asignación'!M97</f>
        <v>2728.8296713726249</v>
      </c>
      <c r="M15" s="136">
        <f>'IV. Metodología de asignación'!N97</f>
        <v>16.995673579059666</v>
      </c>
      <c r="N15" s="137">
        <f>'IV. Metodología de asignación'!O97</f>
        <v>886.38794198773712</v>
      </c>
    </row>
    <row r="16" spans="1:14" ht="15" customHeight="1" x14ac:dyDescent="0.35">
      <c r="A16" s="135" t="s">
        <v>13</v>
      </c>
      <c r="B16" s="136">
        <f>'IV. Metodología de asignación'!J76</f>
        <v>9381.0676673947128</v>
      </c>
      <c r="C16" s="136">
        <f>'IV. Metodología de asignación'!K76</f>
        <v>9429.2655162939645</v>
      </c>
      <c r="D16" s="136">
        <f>'IV. Metodología de asignación'!L76</f>
        <v>5462.1315181364225</v>
      </c>
      <c r="E16" s="136">
        <f>'IV. Metodología de asignación'!M76</f>
        <v>3800.0532372782595</v>
      </c>
      <c r="F16" s="136">
        <f>'IV. Metodología de asignación'!N76</f>
        <v>24.835876567530896</v>
      </c>
      <c r="G16" s="137">
        <f>'IV. Metodología de asignación'!O76</f>
        <v>975.72216227947229</v>
      </c>
      <c r="I16" s="145">
        <f>'IV. Metodología de asignación'!J96</f>
        <v>4050.2957223245444</v>
      </c>
      <c r="J16" s="136">
        <f>'IV. Metodología de asignación'!K96</f>
        <v>4381.6885930000553</v>
      </c>
      <c r="K16" s="136">
        <f>'IV. Metodología de asignación'!L96</f>
        <v>1951.7350442295635</v>
      </c>
      <c r="L16" s="136">
        <f>'IV. Metodología de asignación'!M96</f>
        <v>1437.3084546325097</v>
      </c>
      <c r="M16" s="136">
        <f>'IV. Metodología de asignación'!N96</f>
        <v>9.121545241830276</v>
      </c>
      <c r="N16" s="137">
        <f>'IV. Metodología de asignación'!O96</f>
        <v>557.20724930772838</v>
      </c>
    </row>
    <row r="17" spans="1:28" ht="15" customHeight="1" thickBot="1" x14ac:dyDescent="0.4">
      <c r="A17" s="138" t="s">
        <v>14</v>
      </c>
      <c r="B17" s="139">
        <f>'IV. Metodología de asignación'!J75</f>
        <v>25455.420261926138</v>
      </c>
      <c r="C17" s="139">
        <f>'IV. Metodología de asignación'!K75</f>
        <v>23869.768543744081</v>
      </c>
      <c r="D17" s="139">
        <f>'IV. Metodología de asignación'!L75</f>
        <v>13972.399452484677</v>
      </c>
      <c r="E17" s="139">
        <f>'IV. Metodología de asignación'!M75</f>
        <v>11124.458736045703</v>
      </c>
      <c r="F17" s="139">
        <f>'IV. Metodología de asignación'!N75</f>
        <v>73.658316972827137</v>
      </c>
      <c r="G17" s="140">
        <f>'IV. Metodología de asignación'!O75</f>
        <v>3121.7183309412444</v>
      </c>
      <c r="I17" s="146">
        <f>'IV. Metodología de asignación'!J95</f>
        <v>10743.460365494369</v>
      </c>
      <c r="J17" s="139">
        <f>'IV. Metodología de asignación'!K95</f>
        <v>12340.869976597302</v>
      </c>
      <c r="K17" s="139">
        <f>'IV. Metodología de asignación'!L95</f>
        <v>5359.8694535763179</v>
      </c>
      <c r="L17" s="139">
        <f>'IV. Metodología de asignación'!M95</f>
        <v>4039.1439257312168</v>
      </c>
      <c r="M17" s="139">
        <f>'IV. Metodología de asignación'!N95</f>
        <v>27.25406861783096</v>
      </c>
      <c r="N17" s="140">
        <f>'IV. Metodología de asignación'!O95</f>
        <v>1727.1118663897573</v>
      </c>
    </row>
    <row r="18" spans="1:28" ht="13.15" thickBot="1" x14ac:dyDescent="0.4">
      <c r="B18" s="180"/>
      <c r="C18" s="180"/>
      <c r="D18" s="180"/>
      <c r="E18" s="180"/>
      <c r="F18" s="180"/>
      <c r="G18" s="180"/>
      <c r="N18" s="180">
        <f>SUM(I13:N17)-'IV. Metodología de asignación'!D23</f>
        <v>0</v>
      </c>
    </row>
    <row r="19" spans="1:28" ht="24" customHeight="1" x14ac:dyDescent="0.35">
      <c r="A19" s="614" t="s">
        <v>53</v>
      </c>
      <c r="B19" s="515" t="s">
        <v>105</v>
      </c>
      <c r="C19" s="515"/>
      <c r="D19" s="515"/>
      <c r="E19" s="515"/>
      <c r="F19" s="515"/>
      <c r="G19" s="516"/>
      <c r="I19" s="561" t="s">
        <v>112</v>
      </c>
      <c r="J19" s="515"/>
      <c r="K19" s="515"/>
      <c r="L19" s="515"/>
      <c r="M19" s="515"/>
      <c r="N19" s="516"/>
    </row>
    <row r="20" spans="1:28" ht="24" customHeight="1" x14ac:dyDescent="0.35">
      <c r="A20" s="615"/>
      <c r="B20" s="517" t="s">
        <v>15</v>
      </c>
      <c r="C20" s="517" t="s">
        <v>16</v>
      </c>
      <c r="D20" s="517" t="s">
        <v>17</v>
      </c>
      <c r="E20" s="517" t="s">
        <v>18</v>
      </c>
      <c r="F20" s="517" t="s">
        <v>19</v>
      </c>
      <c r="G20" s="518" t="s">
        <v>20</v>
      </c>
      <c r="I20" s="562" t="s">
        <v>15</v>
      </c>
      <c r="J20" s="517" t="s">
        <v>16</v>
      </c>
      <c r="K20" s="517" t="s">
        <v>17</v>
      </c>
      <c r="L20" s="517" t="s">
        <v>18</v>
      </c>
      <c r="M20" s="517" t="s">
        <v>19</v>
      </c>
      <c r="N20" s="518" t="s">
        <v>20</v>
      </c>
    </row>
    <row r="21" spans="1:28" ht="15" customHeight="1" x14ac:dyDescent="0.35">
      <c r="A21" s="132" t="s">
        <v>10</v>
      </c>
      <c r="B21" s="133">
        <f>'I. Datos de entrada'!C122+'I. Datos de entrada'!C123</f>
        <v>143517.68990210522</v>
      </c>
      <c r="C21" s="133">
        <f>'I. Datos de entrada'!D122+'I. Datos de entrada'!D123</f>
        <v>144973.73175871052</v>
      </c>
      <c r="D21" s="133">
        <f>'I. Datos de entrada'!E122+'I. Datos de entrada'!E123</f>
        <v>145066.28512745388</v>
      </c>
      <c r="E21" s="133">
        <f>'I. Datos de entrada'!F122+'I. Datos de entrada'!F123</f>
        <v>145068.924122953</v>
      </c>
      <c r="F21" s="133">
        <f>'I. Datos de entrada'!G122+'I. Datos de entrada'!G123</f>
        <v>145071.12640381377</v>
      </c>
      <c r="G21" s="134">
        <f>'I. Datos de entrada'!H122+'I. Datos de entrada'!H123</f>
        <v>147840.70370759431</v>
      </c>
      <c r="I21" s="144">
        <f>('I. Datos de entrada'!C108+'I. Datos de entrada'!C109)*1000</f>
        <v>12160990.898959683</v>
      </c>
      <c r="J21" s="133">
        <f>('I. Datos de entrada'!D108+'I. Datos de entrada'!D109)*1000</f>
        <v>14758365.241231037</v>
      </c>
      <c r="K21" s="133">
        <f>('I. Datos de entrada'!E108+'I. Datos de entrada'!E109)*1000</f>
        <v>12390527.353300877</v>
      </c>
      <c r="L21" s="133">
        <f>('I. Datos de entrada'!F108+'I. Datos de entrada'!F109)*1000</f>
        <v>13826413.242975894</v>
      </c>
      <c r="M21" s="133">
        <f>('I. Datos de entrada'!G108+'I. Datos de entrada'!G109)*1000</f>
        <v>5528579.462173692</v>
      </c>
      <c r="N21" s="134">
        <f>('I. Datos de entrada'!H108+'I. Datos de entrada'!H109)*1000</f>
        <v>49262726.106152214</v>
      </c>
    </row>
    <row r="22" spans="1:28" ht="15" customHeight="1" x14ac:dyDescent="0.35">
      <c r="A22" s="135" t="s">
        <v>11</v>
      </c>
      <c r="B22" s="136">
        <f>'I. Datos de entrada'!C124</f>
        <v>16273.820736309061</v>
      </c>
      <c r="C22" s="136">
        <f>'I. Datos de entrada'!D124</f>
        <v>16982.548619839461</v>
      </c>
      <c r="D22" s="136">
        <f>'I. Datos de entrada'!E124</f>
        <v>17936.196911519961</v>
      </c>
      <c r="E22" s="136">
        <f>'I. Datos de entrada'!F124</f>
        <v>18065.60070139114</v>
      </c>
      <c r="F22" s="136">
        <f>'I. Datos de entrada'!G124</f>
        <v>18187.693707801915</v>
      </c>
      <c r="G22" s="137">
        <f>'I. Datos de entrada'!H124</f>
        <v>26389.912714496917</v>
      </c>
      <c r="I22" s="145">
        <f>'I. Datos de entrada'!C110*1000</f>
        <v>6925555.125064888</v>
      </c>
      <c r="J22" s="136">
        <f>'I. Datos de entrada'!D110*1000</f>
        <v>8704019.6073674969</v>
      </c>
      <c r="K22" s="136">
        <f>'I. Datos de entrada'!E110*1000</f>
        <v>8559882.5744621847</v>
      </c>
      <c r="L22" s="136">
        <f>'I. Datos de entrada'!F110*1000</f>
        <v>9540225.6668570265</v>
      </c>
      <c r="M22" s="136">
        <f>'I. Datos de entrada'!G110*1000</f>
        <v>3839946.113212673</v>
      </c>
      <c r="N22" s="137">
        <f>'I. Datos de entrada'!H110*1000</f>
        <v>32636156.548694991</v>
      </c>
    </row>
    <row r="23" spans="1:28" ht="15" customHeight="1" x14ac:dyDescent="0.35">
      <c r="A23" s="135" t="s">
        <v>12</v>
      </c>
      <c r="B23" s="136">
        <f>'I. Datos de entrada'!C125</f>
        <v>3867.4430767884951</v>
      </c>
      <c r="C23" s="136">
        <f>'I. Datos de entrada'!D125</f>
        <v>4002.8477656092423</v>
      </c>
      <c r="D23" s="136">
        <f>'I. Datos de entrada'!E125</f>
        <v>4473.388001957037</v>
      </c>
      <c r="E23" s="136">
        <f>'I. Datos de entrada'!F125</f>
        <v>4513.5790311203864</v>
      </c>
      <c r="F23" s="136">
        <f>'I. Datos de entrada'!G125</f>
        <v>4549.7206241563763</v>
      </c>
      <c r="G23" s="137">
        <f>'I. Datos de entrada'!H125</f>
        <v>6005.8978806181522</v>
      </c>
      <c r="I23" s="145">
        <f>'I. Datos de entrada'!C111*1000</f>
        <v>1971901.613859605</v>
      </c>
      <c r="J23" s="136">
        <f>'I. Datos de entrada'!D111*1000</f>
        <v>2635517.5851702192</v>
      </c>
      <c r="K23" s="136">
        <f>'I. Datos de entrada'!E111*1000</f>
        <v>2492656.6321280724</v>
      </c>
      <c r="L23" s="136">
        <f>'I. Datos de entrada'!F111*1000</f>
        <v>2841603.0891759801</v>
      </c>
      <c r="M23" s="136">
        <f>'I. Datos de entrada'!G111*1000</f>
        <v>1209749.9583392057</v>
      </c>
      <c r="N23" s="137">
        <f>'I. Datos de entrada'!H111*1000</f>
        <v>11452159.296590189</v>
      </c>
    </row>
    <row r="24" spans="1:28" ht="15" customHeight="1" x14ac:dyDescent="0.35">
      <c r="A24" s="135" t="s">
        <v>13</v>
      </c>
      <c r="B24" s="136">
        <f>'I. Datos de entrada'!C126</f>
        <v>1735.5878337102238</v>
      </c>
      <c r="C24" s="136">
        <f>'I. Datos de entrada'!D126</f>
        <v>1796.1937790576023</v>
      </c>
      <c r="D24" s="136">
        <f>'I. Datos de entrada'!E126</f>
        <v>1993.5144522216845</v>
      </c>
      <c r="E24" s="136">
        <f>'I. Datos de entrada'!F126</f>
        <v>2011.9422998600239</v>
      </c>
      <c r="F24" s="136">
        <f>'I. Datos de entrada'!G126</f>
        <v>2018.5990920870815</v>
      </c>
      <c r="G24" s="137">
        <f>'I. Datos de entrada'!H126</f>
        <v>2579.7371034593625</v>
      </c>
      <c r="I24" s="145">
        <f>'I. Datos de entrada'!C112*1000</f>
        <v>844037.12386776693</v>
      </c>
      <c r="J24" s="136">
        <f>'I. Datos de entrada'!D112*1000</f>
        <v>1157338.1030626621</v>
      </c>
      <c r="K24" s="136">
        <f>'I. Datos de entrada'!E112*1000</f>
        <v>1141789.6975924638</v>
      </c>
      <c r="L24" s="136">
        <f>'I. Datos de entrada'!F112*1000</f>
        <v>1315374.3912975474</v>
      </c>
      <c r="M24" s="136">
        <f>'I. Datos de entrada'!G112*1000</f>
        <v>562275.17650335666</v>
      </c>
      <c r="N24" s="137">
        <f>'I. Datos de entrada'!H112*1000</f>
        <v>6173708.8152581705</v>
      </c>
    </row>
    <row r="25" spans="1:28" ht="15" customHeight="1" thickBot="1" x14ac:dyDescent="0.4">
      <c r="A25" s="138" t="s">
        <v>14</v>
      </c>
      <c r="B25" s="139">
        <f>'I. Datos de entrada'!C127</f>
        <v>3014.9457767802933</v>
      </c>
      <c r="C25" s="139">
        <f>'I. Datos de entrada'!D127</f>
        <v>3279.2152197480145</v>
      </c>
      <c r="D25" s="139">
        <f>'I. Datos de entrada'!E127</f>
        <v>3891.2540616381307</v>
      </c>
      <c r="E25" s="139">
        <f>'I. Datos de entrada'!F127</f>
        <v>4043.3074132346146</v>
      </c>
      <c r="F25" s="139">
        <f>'I. Datos de entrada'!G127</f>
        <v>4080.0336676683251</v>
      </c>
      <c r="G25" s="140">
        <f>'I. Datos de entrada'!H127</f>
        <v>5056.6147598729431</v>
      </c>
      <c r="I25" s="146">
        <f>'I. Datos de entrada'!C113*1000</f>
        <v>1245605.919069825</v>
      </c>
      <c r="J25" s="139">
        <f>'I. Datos de entrada'!D113*1000</f>
        <v>1831431.3380180141</v>
      </c>
      <c r="K25" s="139">
        <f>'I. Datos de entrada'!E113*1000</f>
        <v>1793620.369415889</v>
      </c>
      <c r="L25" s="139">
        <f>'I. Datos de entrada'!F113*1000</f>
        <v>2073909.5333330911</v>
      </c>
      <c r="M25" s="139">
        <f>'I. Datos de entrada'!G113*1000</f>
        <v>917621.02383539057</v>
      </c>
      <c r="N25" s="140">
        <f>'I. Datos de entrada'!H113*1000</f>
        <v>10517369.00417416</v>
      </c>
    </row>
    <row r="26" spans="1:28" ht="13.15" thickBot="1" x14ac:dyDescent="0.4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28" ht="24" customHeight="1" x14ac:dyDescent="0.35">
      <c r="A27" s="614" t="s">
        <v>53</v>
      </c>
      <c r="B27" s="515" t="s">
        <v>106</v>
      </c>
      <c r="C27" s="515"/>
      <c r="D27" s="515"/>
      <c r="E27" s="515"/>
      <c r="F27" s="515"/>
      <c r="G27" s="516"/>
      <c r="I27" s="561" t="s">
        <v>111</v>
      </c>
      <c r="J27" s="515"/>
      <c r="K27" s="515"/>
      <c r="L27" s="515"/>
      <c r="M27" s="515"/>
      <c r="N27" s="516"/>
    </row>
    <row r="28" spans="1:28" ht="24" customHeight="1" x14ac:dyDescent="0.35">
      <c r="A28" s="615"/>
      <c r="B28" s="517" t="s">
        <v>15</v>
      </c>
      <c r="C28" s="517" t="s">
        <v>16</v>
      </c>
      <c r="D28" s="517" t="s">
        <v>17</v>
      </c>
      <c r="E28" s="517" t="s">
        <v>18</v>
      </c>
      <c r="F28" s="517" t="s">
        <v>19</v>
      </c>
      <c r="G28" s="518" t="s">
        <v>20</v>
      </c>
      <c r="I28" s="562" t="s">
        <v>15</v>
      </c>
      <c r="J28" s="517" t="s">
        <v>16</v>
      </c>
      <c r="K28" s="517" t="s">
        <v>17</v>
      </c>
      <c r="L28" s="517" t="s">
        <v>18</v>
      </c>
      <c r="M28" s="517" t="s">
        <v>19</v>
      </c>
      <c r="N28" s="518" t="s">
        <v>20</v>
      </c>
    </row>
    <row r="29" spans="1:28" ht="15" customHeight="1" x14ac:dyDescent="0.35">
      <c r="A29" s="132" t="s">
        <v>10</v>
      </c>
      <c r="B29" s="165">
        <f>B13/B21</f>
        <v>1.4950540736634261</v>
      </c>
      <c r="C29" s="165">
        <f t="shared" ref="B29:G33" si="0">C13/C21</f>
        <v>1.5078798043357218</v>
      </c>
      <c r="D29" s="165">
        <f t="shared" si="0"/>
        <v>0.46213282931674449</v>
      </c>
      <c r="E29" s="165">
        <f t="shared" si="0"/>
        <v>0.32826062541497714</v>
      </c>
      <c r="F29" s="165">
        <f t="shared" si="0"/>
        <v>2.0755343320601454E-3</v>
      </c>
      <c r="G29" s="166">
        <f t="shared" si="0"/>
        <v>0.15080942918559026</v>
      </c>
      <c r="I29" s="171">
        <f t="shared" ref="I29:N33" si="1">I13/I21</f>
        <v>5.1048376380386567E-3</v>
      </c>
      <c r="J29" s="172">
        <f t="shared" si="1"/>
        <v>4.1029764205601999E-3</v>
      </c>
      <c r="K29" s="172">
        <f t="shared" si="1"/>
        <v>1.7914677450709005E-3</v>
      </c>
      <c r="L29" s="172">
        <f t="shared" si="1"/>
        <v>1.1282047762726597E-3</v>
      </c>
      <c r="M29" s="172">
        <f t="shared" si="1"/>
        <v>1.666770693827189E-5</v>
      </c>
      <c r="N29" s="173">
        <f t="shared" si="1"/>
        <v>1.0195311593400367E-4</v>
      </c>
      <c r="Q29" s="255"/>
      <c r="R29" s="255"/>
      <c r="S29" s="255"/>
      <c r="T29" s="255"/>
      <c r="U29" s="255"/>
      <c r="W29" s="255"/>
      <c r="X29" s="255"/>
      <c r="Y29" s="255"/>
      <c r="Z29" s="255"/>
      <c r="AA29" s="255"/>
      <c r="AB29" s="255"/>
    </row>
    <row r="30" spans="1:28" ht="15" customHeight="1" x14ac:dyDescent="0.35">
      <c r="A30" s="135" t="s">
        <v>11</v>
      </c>
      <c r="B30" s="167">
        <f t="shared" si="0"/>
        <v>5.1427651632864988</v>
      </c>
      <c r="C30" s="167">
        <f t="shared" si="0"/>
        <v>4.8915825948730003</v>
      </c>
      <c r="D30" s="167">
        <f t="shared" si="0"/>
        <v>2.551185578961745</v>
      </c>
      <c r="E30" s="167">
        <f t="shared" si="0"/>
        <v>1.770623160305123</v>
      </c>
      <c r="F30" s="167">
        <f t="shared" si="0"/>
        <v>9.5230682616106784E-3</v>
      </c>
      <c r="G30" s="168">
        <f t="shared" si="0"/>
        <v>0.20330595835936918</v>
      </c>
      <c r="I30" s="174">
        <f t="shared" si="1"/>
        <v>4.7295338363311486E-3</v>
      </c>
      <c r="J30" s="175">
        <f t="shared" si="1"/>
        <v>3.7545707621158778E-3</v>
      </c>
      <c r="K30" s="175">
        <f t="shared" si="1"/>
        <v>1.6743865125065894E-3</v>
      </c>
      <c r="L30" s="175">
        <f t="shared" si="1"/>
        <v>1.066903477473365E-3</v>
      </c>
      <c r="M30" s="175">
        <f t="shared" si="1"/>
        <v>1.573886125302603E-5</v>
      </c>
      <c r="N30" s="176">
        <f t="shared" si="1"/>
        <v>8.9730253220928922E-5</v>
      </c>
      <c r="Q30" s="255"/>
      <c r="R30" s="255"/>
      <c r="S30" s="255"/>
      <c r="T30" s="255"/>
      <c r="U30" s="255"/>
      <c r="W30" s="255"/>
      <c r="X30" s="255"/>
      <c r="Y30" s="255"/>
      <c r="Z30" s="255"/>
      <c r="AA30" s="255"/>
      <c r="AB30" s="255"/>
    </row>
    <row r="31" spans="1:28" ht="15" customHeight="1" x14ac:dyDescent="0.35">
      <c r="A31" s="135" t="s">
        <v>12</v>
      </c>
      <c r="B31" s="167">
        <f t="shared" si="0"/>
        <v>5.4153178430272746</v>
      </c>
      <c r="C31" s="167">
        <f>C15/C23</f>
        <v>5.3804214649644058</v>
      </c>
      <c r="D31" s="167">
        <f t="shared" si="0"/>
        <v>2.3460519482354476</v>
      </c>
      <c r="E31" s="167">
        <f t="shared" si="0"/>
        <v>1.6430694048009795</v>
      </c>
      <c r="F31" s="167">
        <f t="shared" si="0"/>
        <v>9.9066040363691831E-3</v>
      </c>
      <c r="G31" s="168">
        <f t="shared" si="0"/>
        <v>0.26748691559239379</v>
      </c>
      <c r="I31" s="174">
        <f t="shared" si="1"/>
        <v>4.2521060564381513E-3</v>
      </c>
      <c r="J31" s="175">
        <f t="shared" si="1"/>
        <v>3.3698151866254624E-3</v>
      </c>
      <c r="K31" s="175">
        <f t="shared" si="1"/>
        <v>1.4982183491808545E-3</v>
      </c>
      <c r="L31" s="175">
        <f t="shared" si="1"/>
        <v>9.6031345185648091E-4</v>
      </c>
      <c r="M31" s="175">
        <f t="shared" si="1"/>
        <v>1.4048914374332381E-5</v>
      </c>
      <c r="N31" s="176">
        <f t="shared" si="1"/>
        <v>7.7399197743577828E-5</v>
      </c>
      <c r="Q31" s="255"/>
      <c r="R31" s="255"/>
      <c r="S31" s="255"/>
      <c r="T31" s="255"/>
      <c r="U31" s="255"/>
      <c r="W31" s="255"/>
      <c r="X31" s="255"/>
      <c r="Y31" s="255"/>
      <c r="Z31" s="255"/>
      <c r="AA31" s="255"/>
      <c r="AB31" s="255"/>
    </row>
    <row r="32" spans="1:28" ht="15" customHeight="1" x14ac:dyDescent="0.35">
      <c r="A32" s="135" t="s">
        <v>13</v>
      </c>
      <c r="B32" s="167">
        <f t="shared" si="0"/>
        <v>5.4051241228975968</v>
      </c>
      <c r="C32" s="167">
        <f t="shared" si="0"/>
        <v>5.2495814350504864</v>
      </c>
      <c r="D32" s="167">
        <f t="shared" si="0"/>
        <v>2.739950799979963</v>
      </c>
      <c r="E32" s="167">
        <f t="shared" si="0"/>
        <v>1.8887486174641486</v>
      </c>
      <c r="F32" s="167">
        <f t="shared" si="0"/>
        <v>1.2303521122588262E-2</v>
      </c>
      <c r="G32" s="168">
        <f t="shared" si="0"/>
        <v>0.37822542497491446</v>
      </c>
      <c r="I32" s="174">
        <f t="shared" si="1"/>
        <v>4.7987175063630184E-3</v>
      </c>
      <c r="J32" s="175">
        <f t="shared" si="1"/>
        <v>3.7860056464094627E-3</v>
      </c>
      <c r="K32" s="175">
        <f t="shared" si="1"/>
        <v>1.7093647353316648E-3</v>
      </c>
      <c r="L32" s="175">
        <f t="shared" si="1"/>
        <v>1.0926991312448168E-3</v>
      </c>
      <c r="M32" s="175">
        <f t="shared" si="1"/>
        <v>1.6222564365289604E-5</v>
      </c>
      <c r="N32" s="176">
        <f t="shared" si="1"/>
        <v>9.0254863969386491E-5</v>
      </c>
      <c r="Q32" s="255"/>
      <c r="R32" s="255"/>
      <c r="S32" s="255"/>
      <c r="T32" s="255"/>
      <c r="U32" s="255"/>
      <c r="W32" s="255"/>
      <c r="X32" s="255"/>
      <c r="Y32" s="255"/>
      <c r="Z32" s="255"/>
      <c r="AA32" s="255"/>
      <c r="AB32" s="255"/>
    </row>
    <row r="33" spans="1:28" ht="15" customHeight="1" thickBot="1" x14ac:dyDescent="0.4">
      <c r="A33" s="138" t="s">
        <v>14</v>
      </c>
      <c r="B33" s="169">
        <f t="shared" si="0"/>
        <v>8.4430773043986118</v>
      </c>
      <c r="C33" s="169">
        <f t="shared" si="0"/>
        <v>7.2791100748728264</v>
      </c>
      <c r="D33" s="169">
        <f t="shared" si="0"/>
        <v>3.5907188868060209</v>
      </c>
      <c r="E33" s="169">
        <f t="shared" si="0"/>
        <v>2.7513264758531486</v>
      </c>
      <c r="F33" s="169">
        <f t="shared" si="0"/>
        <v>1.8053360087815575E-2</v>
      </c>
      <c r="G33" s="170">
        <f t="shared" si="0"/>
        <v>0.61735340325187904</v>
      </c>
      <c r="I33" s="177">
        <f t="shared" si="1"/>
        <v>8.6250877593109145E-3</v>
      </c>
      <c r="J33" s="178">
        <f t="shared" si="1"/>
        <v>6.7383743634924715E-3</v>
      </c>
      <c r="K33" s="178">
        <f t="shared" si="1"/>
        <v>2.9882964895864865E-3</v>
      </c>
      <c r="L33" s="178">
        <f t="shared" si="1"/>
        <v>1.9475988999576525E-3</v>
      </c>
      <c r="M33" s="178">
        <f t="shared" si="1"/>
        <v>2.9700789225509277E-5</v>
      </c>
      <c r="N33" s="179">
        <f t="shared" si="1"/>
        <v>1.6421520113103351E-4</v>
      </c>
      <c r="Q33" s="255"/>
      <c r="R33" s="255"/>
      <c r="S33" s="255"/>
      <c r="T33" s="255"/>
      <c r="U33" s="255"/>
      <c r="W33" s="255"/>
      <c r="X33" s="255"/>
      <c r="Y33" s="255"/>
      <c r="Z33" s="255"/>
      <c r="AA33" s="255"/>
      <c r="AB33" s="255"/>
    </row>
    <row r="34" spans="1:28" x14ac:dyDescent="0.35">
      <c r="B34" s="252"/>
      <c r="C34" s="252"/>
      <c r="D34" s="252"/>
      <c r="E34" s="252"/>
      <c r="F34" s="252"/>
      <c r="G34" s="252"/>
    </row>
    <row r="35" spans="1:28" s="5" customFormat="1" ht="16.5" customHeight="1" x14ac:dyDescent="0.35">
      <c r="A35" s="5" t="s">
        <v>113</v>
      </c>
    </row>
    <row r="36" spans="1:28" ht="5.2" customHeight="1" thickBot="1" x14ac:dyDescent="0.4">
      <c r="A36" s="153"/>
      <c r="B36" s="155"/>
      <c r="C36" s="35"/>
    </row>
    <row r="37" spans="1:28" ht="18" customHeight="1" x14ac:dyDescent="0.35">
      <c r="A37" s="614" t="s">
        <v>53</v>
      </c>
      <c r="B37" s="515" t="s">
        <v>95</v>
      </c>
      <c r="C37" s="515"/>
      <c r="D37" s="515"/>
      <c r="E37" s="515"/>
      <c r="F37" s="515"/>
      <c r="G37" s="516"/>
      <c r="I37" s="561" t="s">
        <v>96</v>
      </c>
      <c r="J37" s="515"/>
      <c r="K37" s="515"/>
      <c r="L37" s="515"/>
      <c r="M37" s="515"/>
      <c r="N37" s="516"/>
    </row>
    <row r="38" spans="1:28" ht="18" customHeight="1" x14ac:dyDescent="0.35">
      <c r="A38" s="615"/>
      <c r="B38" s="517" t="s">
        <v>15</v>
      </c>
      <c r="C38" s="517" t="s">
        <v>16</v>
      </c>
      <c r="D38" s="517" t="s">
        <v>17</v>
      </c>
      <c r="E38" s="517" t="s">
        <v>18</v>
      </c>
      <c r="F38" s="517" t="s">
        <v>19</v>
      </c>
      <c r="G38" s="518" t="s">
        <v>20</v>
      </c>
      <c r="I38" s="562" t="s">
        <v>15</v>
      </c>
      <c r="J38" s="517" t="s">
        <v>16</v>
      </c>
      <c r="K38" s="517" t="s">
        <v>17</v>
      </c>
      <c r="L38" s="517" t="s">
        <v>18</v>
      </c>
      <c r="M38" s="517" t="s">
        <v>19</v>
      </c>
      <c r="N38" s="518" t="s">
        <v>20</v>
      </c>
    </row>
    <row r="39" spans="1:28" ht="15" customHeight="1" x14ac:dyDescent="0.35">
      <c r="A39" s="132" t="s">
        <v>10</v>
      </c>
      <c r="B39" s="156">
        <f t="shared" ref="B39:G43" si="2">B29/$G29</f>
        <v>9.9135318112209756</v>
      </c>
      <c r="C39" s="156">
        <f t="shared" si="2"/>
        <v>9.9985777578939246</v>
      </c>
      <c r="D39" s="156">
        <f t="shared" si="2"/>
        <v>3.0643497015563335</v>
      </c>
      <c r="E39" s="156">
        <f t="shared" si="2"/>
        <v>2.1766584966713887</v>
      </c>
      <c r="F39" s="156">
        <f t="shared" si="2"/>
        <v>1.3762629719299152E-2</v>
      </c>
      <c r="G39" s="159">
        <f t="shared" si="2"/>
        <v>1</v>
      </c>
      <c r="I39" s="158">
        <f t="shared" ref="I39:N43" si="3">I29/$N29</f>
        <v>50.070442587974675</v>
      </c>
      <c r="J39" s="156">
        <f t="shared" si="3"/>
        <v>40.243756975668504</v>
      </c>
      <c r="K39" s="156">
        <f t="shared" si="3"/>
        <v>17.571485958610172</v>
      </c>
      <c r="L39" s="156">
        <f t="shared" si="3"/>
        <v>11.065917563549208</v>
      </c>
      <c r="M39" s="156">
        <f t="shared" si="3"/>
        <v>0.16348403661405736</v>
      </c>
      <c r="N39" s="159">
        <f t="shared" si="3"/>
        <v>1</v>
      </c>
    </row>
    <row r="40" spans="1:28" ht="15" customHeight="1" x14ac:dyDescent="0.35">
      <c r="A40" s="135" t="s">
        <v>11</v>
      </c>
      <c r="B40" s="157">
        <f t="shared" si="2"/>
        <v>25.29569327326849</v>
      </c>
      <c r="C40" s="157">
        <f t="shared" si="2"/>
        <v>24.060202830979037</v>
      </c>
      <c r="D40" s="157">
        <f t="shared" si="2"/>
        <v>12.548503740614427</v>
      </c>
      <c r="E40" s="157">
        <f t="shared" si="2"/>
        <v>8.7091552780529966</v>
      </c>
      <c r="F40" s="157">
        <f t="shared" si="2"/>
        <v>4.684106820311406E-2</v>
      </c>
      <c r="G40" s="161">
        <f t="shared" si="2"/>
        <v>1</v>
      </c>
      <c r="I40" s="160">
        <f t="shared" si="3"/>
        <v>52.708352718969252</v>
      </c>
      <c r="J40" s="157">
        <f t="shared" si="3"/>
        <v>41.842863776073152</v>
      </c>
      <c r="K40" s="157">
        <f t="shared" si="3"/>
        <v>18.660222749890234</v>
      </c>
      <c r="L40" s="157">
        <f t="shared" si="3"/>
        <v>11.890119989369623</v>
      </c>
      <c r="M40" s="157">
        <f t="shared" si="3"/>
        <v>0.17540194848525242</v>
      </c>
      <c r="N40" s="161">
        <f t="shared" si="3"/>
        <v>1</v>
      </c>
    </row>
    <row r="41" spans="1:28" ht="15" customHeight="1" x14ac:dyDescent="0.35">
      <c r="A41" s="135" t="s">
        <v>12</v>
      </c>
      <c r="B41" s="157">
        <f t="shared" si="2"/>
        <v>20.245169118026435</v>
      </c>
      <c r="C41" s="157">
        <f t="shared" si="2"/>
        <v>20.114708986974474</v>
      </c>
      <c r="D41" s="157">
        <f t="shared" si="2"/>
        <v>8.7707166649244481</v>
      </c>
      <c r="E41" s="157">
        <f t="shared" si="2"/>
        <v>6.1426159898779797</v>
      </c>
      <c r="F41" s="157">
        <f t="shared" si="2"/>
        <v>3.7035845340058514E-2</v>
      </c>
      <c r="G41" s="161">
        <f t="shared" si="2"/>
        <v>1</v>
      </c>
      <c r="I41" s="160">
        <f t="shared" si="3"/>
        <v>54.937340184394458</v>
      </c>
      <c r="J41" s="157">
        <f t="shared" si="3"/>
        <v>43.538115185503607</v>
      </c>
      <c r="K41" s="157">
        <f t="shared" si="3"/>
        <v>19.35702685374628</v>
      </c>
      <c r="L41" s="157">
        <f t="shared" si="3"/>
        <v>12.407279143098904</v>
      </c>
      <c r="M41" s="157">
        <f t="shared" si="3"/>
        <v>0.18151240302097427</v>
      </c>
      <c r="N41" s="161">
        <f t="shared" si="3"/>
        <v>1</v>
      </c>
    </row>
    <row r="42" spans="1:28" ht="15" customHeight="1" x14ac:dyDescent="0.35">
      <c r="A42" s="135" t="s">
        <v>13</v>
      </c>
      <c r="B42" s="157">
        <f t="shared" si="2"/>
        <v>14.290747702262713</v>
      </c>
      <c r="C42" s="157">
        <f t="shared" si="2"/>
        <v>13.879504360127724</v>
      </c>
      <c r="D42" s="157">
        <f t="shared" si="2"/>
        <v>7.24422690558597</v>
      </c>
      <c r="E42" s="157">
        <f t="shared" si="2"/>
        <v>4.9937114026361886</v>
      </c>
      <c r="F42" s="157">
        <f t="shared" si="2"/>
        <v>3.2529598250578433E-2</v>
      </c>
      <c r="G42" s="161">
        <f t="shared" si="2"/>
        <v>1</v>
      </c>
      <c r="I42" s="160">
        <f t="shared" si="3"/>
        <v>53.16851962671722</v>
      </c>
      <c r="J42" s="157">
        <f t="shared" si="3"/>
        <v>41.947940309273925</v>
      </c>
      <c r="K42" s="157">
        <f t="shared" si="3"/>
        <v>18.939308754722223</v>
      </c>
      <c r="L42" s="157">
        <f t="shared" si="3"/>
        <v>12.106817108665179</v>
      </c>
      <c r="M42" s="157">
        <f t="shared" si="3"/>
        <v>0.17974171863792435</v>
      </c>
      <c r="N42" s="161">
        <f t="shared" si="3"/>
        <v>1</v>
      </c>
    </row>
    <row r="43" spans="1:28" ht="15" customHeight="1" thickBot="1" x14ac:dyDescent="0.4">
      <c r="A43" s="138" t="s">
        <v>14</v>
      </c>
      <c r="B43" s="163">
        <f t="shared" si="2"/>
        <v>13.676246473940392</v>
      </c>
      <c r="C43" s="163">
        <f t="shared" si="2"/>
        <v>11.790831696286872</v>
      </c>
      <c r="D43" s="163">
        <f t="shared" si="2"/>
        <v>5.8163101845589313</v>
      </c>
      <c r="E43" s="163">
        <f t="shared" si="2"/>
        <v>4.456647458911978</v>
      </c>
      <c r="F43" s="163">
        <f t="shared" si="2"/>
        <v>2.924315309953809E-2</v>
      </c>
      <c r="G43" s="164">
        <f t="shared" si="2"/>
        <v>1</v>
      </c>
      <c r="I43" s="162">
        <f t="shared" si="3"/>
        <v>52.523077643881649</v>
      </c>
      <c r="J43" s="163">
        <f t="shared" si="3"/>
        <v>41.033803917553698</v>
      </c>
      <c r="K43" s="163">
        <f t="shared" si="3"/>
        <v>18.197441339197411</v>
      </c>
      <c r="L43" s="163">
        <f t="shared" si="3"/>
        <v>11.860040279727757</v>
      </c>
      <c r="M43" s="163">
        <f t="shared" si="3"/>
        <v>0.18086504185328064</v>
      </c>
      <c r="N43" s="164">
        <f t="shared" si="3"/>
        <v>1</v>
      </c>
    </row>
    <row r="65" spans="1:14" s="5" customFormat="1" ht="16.5" customHeight="1" x14ac:dyDescent="0.35">
      <c r="A65" s="5" t="s">
        <v>114</v>
      </c>
    </row>
    <row r="66" spans="1:14" ht="13.15" thickBot="1" x14ac:dyDescent="0.4">
      <c r="A66" s="153"/>
      <c r="B66" s="155"/>
      <c r="C66" s="35"/>
    </row>
    <row r="67" spans="1:14" ht="18" customHeight="1" x14ac:dyDescent="0.35">
      <c r="A67" s="614" t="s">
        <v>53</v>
      </c>
      <c r="B67" s="515" t="s">
        <v>95</v>
      </c>
      <c r="C67" s="515"/>
      <c r="D67" s="515"/>
      <c r="E67" s="515"/>
      <c r="F67" s="515"/>
      <c r="G67" s="516"/>
      <c r="I67" s="561" t="s">
        <v>96</v>
      </c>
      <c r="J67" s="515"/>
      <c r="K67" s="515"/>
      <c r="L67" s="515"/>
      <c r="M67" s="515"/>
      <c r="N67" s="516"/>
    </row>
    <row r="68" spans="1:14" ht="18" customHeight="1" x14ac:dyDescent="0.35">
      <c r="A68" s="615"/>
      <c r="B68" s="517" t="s">
        <v>15</v>
      </c>
      <c r="C68" s="517" t="s">
        <v>16</v>
      </c>
      <c r="D68" s="517" t="s">
        <v>17</v>
      </c>
      <c r="E68" s="517" t="s">
        <v>18</v>
      </c>
      <c r="F68" s="517" t="s">
        <v>19</v>
      </c>
      <c r="G68" s="518" t="s">
        <v>20</v>
      </c>
      <c r="I68" s="562" t="s">
        <v>15</v>
      </c>
      <c r="J68" s="517" t="s">
        <v>16</v>
      </c>
      <c r="K68" s="517" t="s">
        <v>17</v>
      </c>
      <c r="L68" s="517" t="s">
        <v>18</v>
      </c>
      <c r="M68" s="517" t="s">
        <v>19</v>
      </c>
      <c r="N68" s="518" t="s">
        <v>20</v>
      </c>
    </row>
    <row r="69" spans="1:14" ht="18" customHeight="1" x14ac:dyDescent="0.35">
      <c r="A69" s="132" t="s">
        <v>10</v>
      </c>
      <c r="B69" s="501">
        <f t="shared" ref="B69:G73" si="4">B29/B$33</f>
        <v>0.17707454518799015</v>
      </c>
      <c r="C69" s="501">
        <f t="shared" si="4"/>
        <v>0.20715166947960545</v>
      </c>
      <c r="D69" s="501">
        <f t="shared" si="4"/>
        <v>0.12870203540991093</v>
      </c>
      <c r="E69" s="501">
        <f t="shared" si="4"/>
        <v>0.11930995041698496</v>
      </c>
      <c r="F69" s="501">
        <f t="shared" si="4"/>
        <v>0.11496665008421053</v>
      </c>
      <c r="G69" s="502">
        <f t="shared" si="4"/>
        <v>0.24428379011310042</v>
      </c>
      <c r="I69" s="158">
        <f t="shared" ref="I69:N73" si="5">I29/I$33</f>
        <v>0.59185921123270968</v>
      </c>
      <c r="J69" s="156">
        <f t="shared" si="5"/>
        <v>0.60889707208752408</v>
      </c>
      <c r="K69" s="156">
        <f t="shared" si="5"/>
        <v>0.5994946456329705</v>
      </c>
      <c r="L69" s="156">
        <f t="shared" si="5"/>
        <v>0.57927983852177711</v>
      </c>
      <c r="M69" s="156">
        <f t="shared" si="5"/>
        <v>0.5611873412426498</v>
      </c>
      <c r="N69" s="159">
        <f t="shared" si="5"/>
        <v>0.62085065957232199</v>
      </c>
    </row>
    <row r="70" spans="1:14" ht="18" customHeight="1" x14ac:dyDescent="0.35">
      <c r="A70" s="135" t="s">
        <v>11</v>
      </c>
      <c r="B70" s="503">
        <f t="shared" si="4"/>
        <v>0.60911027790865535</v>
      </c>
      <c r="C70" s="503">
        <f t="shared" si="4"/>
        <v>0.67200283339010525</v>
      </c>
      <c r="D70" s="503">
        <f t="shared" si="4"/>
        <v>0.71049437713879326</v>
      </c>
      <c r="E70" s="503">
        <f t="shared" si="4"/>
        <v>0.6435525466878943</v>
      </c>
      <c r="F70" s="503">
        <f t="shared" si="4"/>
        <v>0.52749561385184518</v>
      </c>
      <c r="G70" s="504">
        <f t="shared" si="4"/>
        <v>0.3293185998302835</v>
      </c>
      <c r="I70" s="160">
        <f t="shared" si="5"/>
        <v>0.54834616972164074</v>
      </c>
      <c r="J70" s="157">
        <f t="shared" si="5"/>
        <v>0.55719236711714837</v>
      </c>
      <c r="K70" s="157">
        <f t="shared" si="5"/>
        <v>0.56031472055782761</v>
      </c>
      <c r="L70" s="157">
        <f t="shared" si="5"/>
        <v>0.54780451842346145</v>
      </c>
      <c r="M70" s="157">
        <f t="shared" si="5"/>
        <v>0.52991390678293193</v>
      </c>
      <c r="N70" s="161">
        <f t="shared" si="5"/>
        <v>0.54641867867841154</v>
      </c>
    </row>
    <row r="71" spans="1:14" ht="18" customHeight="1" x14ac:dyDescent="0.35">
      <c r="A71" s="135" t="s">
        <v>12</v>
      </c>
      <c r="B71" s="503">
        <f t="shared" si="4"/>
        <v>0.64139147940834829</v>
      </c>
      <c r="C71" s="503">
        <f t="shared" si="4"/>
        <v>0.7391592391956523</v>
      </c>
      <c r="D71" s="503">
        <f t="shared" si="4"/>
        <v>0.65336552990988483</v>
      </c>
      <c r="E71" s="503">
        <f t="shared" si="4"/>
        <v>0.59719172523554709</v>
      </c>
      <c r="F71" s="503">
        <f t="shared" si="4"/>
        <v>0.54874017845881595</v>
      </c>
      <c r="G71" s="504">
        <f t="shared" si="4"/>
        <v>0.4332800535048798</v>
      </c>
      <c r="I71" s="160">
        <f t="shared" si="5"/>
        <v>0.49299278744705383</v>
      </c>
      <c r="J71" s="157">
        <f t="shared" si="5"/>
        <v>0.5000931982768172</v>
      </c>
      <c r="K71" s="157">
        <f t="shared" si="5"/>
        <v>0.50136201491444865</v>
      </c>
      <c r="L71" s="157">
        <f t="shared" si="5"/>
        <v>0.49307557725431117</v>
      </c>
      <c r="M71" s="157">
        <f t="shared" si="5"/>
        <v>0.47301485046956648</v>
      </c>
      <c r="N71" s="161">
        <f t="shared" si="5"/>
        <v>0.47132785034814217</v>
      </c>
    </row>
    <row r="72" spans="1:14" ht="18" customHeight="1" x14ac:dyDescent="0.35">
      <c r="A72" s="135" t="s">
        <v>13</v>
      </c>
      <c r="B72" s="503">
        <f t="shared" si="4"/>
        <v>0.64018413287317355</v>
      </c>
      <c r="C72" s="503">
        <f t="shared" si="4"/>
        <v>0.72118451033895126</v>
      </c>
      <c r="D72" s="503">
        <f t="shared" si="4"/>
        <v>0.76306469159917323</v>
      </c>
      <c r="E72" s="503">
        <f t="shared" si="4"/>
        <v>0.6864865489576164</v>
      </c>
      <c r="F72" s="503">
        <f t="shared" si="4"/>
        <v>0.68150865338868705</v>
      </c>
      <c r="G72" s="504">
        <f t="shared" si="4"/>
        <v>0.61265625650175481</v>
      </c>
      <c r="I72" s="160">
        <f t="shared" si="5"/>
        <v>0.55636738318201218</v>
      </c>
      <c r="J72" s="157">
        <f t="shared" si="5"/>
        <v>0.56185742171308983</v>
      </c>
      <c r="K72" s="157">
        <f t="shared" si="5"/>
        <v>0.57201979163995298</v>
      </c>
      <c r="L72" s="157">
        <f t="shared" si="5"/>
        <v>0.56104936764370517</v>
      </c>
      <c r="M72" s="157">
        <f t="shared" si="5"/>
        <v>0.54619977409073162</v>
      </c>
      <c r="N72" s="161">
        <f t="shared" si="5"/>
        <v>0.54961333267417023</v>
      </c>
    </row>
    <row r="73" spans="1:14" ht="18" customHeight="1" thickBot="1" x14ac:dyDescent="0.4">
      <c r="A73" s="138" t="s">
        <v>14</v>
      </c>
      <c r="B73" s="505">
        <f t="shared" si="4"/>
        <v>1</v>
      </c>
      <c r="C73" s="505">
        <f t="shared" si="4"/>
        <v>1</v>
      </c>
      <c r="D73" s="505">
        <f t="shared" si="4"/>
        <v>1</v>
      </c>
      <c r="E73" s="505">
        <f t="shared" si="4"/>
        <v>1</v>
      </c>
      <c r="F73" s="505">
        <f t="shared" si="4"/>
        <v>1</v>
      </c>
      <c r="G73" s="506">
        <f t="shared" si="4"/>
        <v>1</v>
      </c>
      <c r="I73" s="162">
        <f t="shared" si="5"/>
        <v>1</v>
      </c>
      <c r="J73" s="163">
        <f t="shared" si="5"/>
        <v>1</v>
      </c>
      <c r="K73" s="163">
        <f t="shared" si="5"/>
        <v>1</v>
      </c>
      <c r="L73" s="163">
        <f t="shared" si="5"/>
        <v>1</v>
      </c>
      <c r="M73" s="163">
        <f t="shared" si="5"/>
        <v>1</v>
      </c>
      <c r="N73" s="164">
        <f t="shared" si="5"/>
        <v>1</v>
      </c>
    </row>
    <row r="75" spans="1:14" s="5" customFormat="1" ht="16.5" customHeight="1" x14ac:dyDescent="0.35">
      <c r="A75" s="5" t="s">
        <v>121</v>
      </c>
    </row>
    <row r="76" spans="1:14" ht="13.15" thickBot="1" x14ac:dyDescent="0.4"/>
    <row r="77" spans="1:14" ht="18" customHeight="1" x14ac:dyDescent="0.35">
      <c r="A77" s="614" t="s">
        <v>97</v>
      </c>
      <c r="B77" s="515" t="s">
        <v>122</v>
      </c>
      <c r="C77" s="515"/>
      <c r="D77" s="515"/>
      <c r="E77" s="515"/>
      <c r="F77" s="515"/>
      <c r="G77" s="516"/>
      <c r="I77" s="561" t="s">
        <v>123</v>
      </c>
      <c r="J77" s="515"/>
      <c r="K77" s="515"/>
      <c r="L77" s="515"/>
      <c r="M77" s="515"/>
      <c r="N77" s="516"/>
    </row>
    <row r="78" spans="1:14" ht="18" customHeight="1" x14ac:dyDescent="0.35">
      <c r="A78" s="615"/>
      <c r="B78" s="517" t="s">
        <v>15</v>
      </c>
      <c r="C78" s="517" t="s">
        <v>16</v>
      </c>
      <c r="D78" s="517" t="s">
        <v>17</v>
      </c>
      <c r="E78" s="517" t="s">
        <v>18</v>
      </c>
      <c r="F78" s="517" t="s">
        <v>19</v>
      </c>
      <c r="G78" s="518" t="s">
        <v>20</v>
      </c>
      <c r="I78" s="562" t="s">
        <v>15</v>
      </c>
      <c r="J78" s="517" t="s">
        <v>16</v>
      </c>
      <c r="K78" s="517" t="s">
        <v>17</v>
      </c>
      <c r="L78" s="517" t="s">
        <v>18</v>
      </c>
      <c r="M78" s="517" t="s">
        <v>19</v>
      </c>
      <c r="N78" s="518" t="s">
        <v>20</v>
      </c>
    </row>
    <row r="79" spans="1:14" ht="18" customHeight="1" x14ac:dyDescent="0.35">
      <c r="A79" s="185" t="s">
        <v>98</v>
      </c>
      <c r="B79" s="424">
        <f>SUM(B80:F80)</f>
        <v>3.8705377109413517</v>
      </c>
      <c r="C79" s="186">
        <f>G80</f>
        <v>7.7145645607367169E-2</v>
      </c>
      <c r="D79" s="186"/>
      <c r="E79" s="186"/>
      <c r="F79" s="186"/>
      <c r="G79" s="187"/>
      <c r="I79" s="197">
        <f>I29</f>
        <v>5.1048376380386567E-3</v>
      </c>
      <c r="J79" s="195">
        <f t="shared" ref="J79:L79" si="6">J29</f>
        <v>4.1029764205601999E-3</v>
      </c>
      <c r="K79" s="195">
        <f t="shared" si="6"/>
        <v>1.7914677450709005E-3</v>
      </c>
      <c r="L79" s="194">
        <f t="shared" si="6"/>
        <v>1.1282047762726597E-3</v>
      </c>
      <c r="M79" s="194">
        <f>SUM(M13:N13)/SUM(M21:N21)</f>
        <v>9.3347605338733999E-5</v>
      </c>
      <c r="N79" s="196">
        <f>M79</f>
        <v>9.3347605338733999E-5</v>
      </c>
    </row>
    <row r="80" spans="1:14" ht="18" customHeight="1" x14ac:dyDescent="0.35">
      <c r="A80" s="188" t="s">
        <v>99</v>
      </c>
      <c r="B80" s="454">
        <f>SUM(B13:C13)/SUM(B21:C21)</f>
        <v>1.5014993053011314</v>
      </c>
      <c r="C80" s="454">
        <f>B80</f>
        <v>1.5014993053011314</v>
      </c>
      <c r="D80" s="189">
        <f t="shared" ref="B80:E84" si="7">D29</f>
        <v>0.46213282931674449</v>
      </c>
      <c r="E80" s="189">
        <f t="shared" si="7"/>
        <v>0.32826062541497714</v>
      </c>
      <c r="F80" s="454">
        <f>SUM(F13:G13)/SUM(F21:G21)</f>
        <v>7.7145645607367169E-2</v>
      </c>
      <c r="G80" s="190">
        <f>F80</f>
        <v>7.7145645607367169E-2</v>
      </c>
      <c r="I80" s="197">
        <f t="shared" ref="I80:L84" si="8">I29</f>
        <v>5.1048376380386567E-3</v>
      </c>
      <c r="J80" s="195">
        <f t="shared" si="8"/>
        <v>4.1029764205601999E-3</v>
      </c>
      <c r="K80" s="195">
        <f t="shared" si="8"/>
        <v>1.7914677450709005E-3</v>
      </c>
      <c r="L80" s="195">
        <f t="shared" si="8"/>
        <v>1.1282047762726597E-3</v>
      </c>
      <c r="M80" s="194">
        <f>SUM(M13:N13)/SUM(M21:N21)</f>
        <v>9.3347605338733999E-5</v>
      </c>
      <c r="N80" s="198">
        <f>M80</f>
        <v>9.3347605338733999E-5</v>
      </c>
    </row>
    <row r="81" spans="1:17" ht="18" customHeight="1" x14ac:dyDescent="0.35">
      <c r="A81" s="188" t="s">
        <v>100</v>
      </c>
      <c r="B81" s="454">
        <f t="shared" si="7"/>
        <v>5.1427651632864988</v>
      </c>
      <c r="C81" s="454">
        <f t="shared" si="7"/>
        <v>4.8915825948730003</v>
      </c>
      <c r="D81" s="189">
        <f t="shared" si="7"/>
        <v>2.551185578961745</v>
      </c>
      <c r="E81" s="189">
        <f t="shared" si="7"/>
        <v>1.770623160305123</v>
      </c>
      <c r="F81" s="454">
        <f>SUM(F14:G14)/SUM(F22:G22)</f>
        <v>0.12424240753696236</v>
      </c>
      <c r="G81" s="190">
        <f t="shared" ref="G81:G84" si="9">F81</f>
        <v>0.12424240753696236</v>
      </c>
      <c r="I81" s="197">
        <f t="shared" si="8"/>
        <v>4.7295338363311486E-3</v>
      </c>
      <c r="J81" s="195">
        <f t="shared" si="8"/>
        <v>3.7545707621158778E-3</v>
      </c>
      <c r="K81" s="195">
        <f t="shared" si="8"/>
        <v>1.6743865125065894E-3</v>
      </c>
      <c r="L81" s="195">
        <f t="shared" si="8"/>
        <v>1.066903477473365E-3</v>
      </c>
      <c r="M81" s="194">
        <f t="shared" ref="M81:M84" si="10">SUM(M14:N14)/SUM(M22:N22)</f>
        <v>8.1940962774198817E-5</v>
      </c>
      <c r="N81" s="198">
        <f t="shared" ref="N81:N83" si="11">M81</f>
        <v>8.1940962774198817E-5</v>
      </c>
    </row>
    <row r="82" spans="1:17" ht="18" customHeight="1" x14ac:dyDescent="0.35">
      <c r="A82" s="188" t="s">
        <v>101</v>
      </c>
      <c r="B82" s="454">
        <f t="shared" si="7"/>
        <v>5.4153178430272746</v>
      </c>
      <c r="C82" s="454">
        <f t="shared" si="7"/>
        <v>5.3804214649644058</v>
      </c>
      <c r="D82" s="189">
        <f t="shared" si="7"/>
        <v>2.3460519482354476</v>
      </c>
      <c r="E82" s="189">
        <f t="shared" si="7"/>
        <v>1.6430694048009795</v>
      </c>
      <c r="F82" s="454">
        <f>SUM(F15:G15)/SUM(F23:G23)</f>
        <v>0.1564637239780903</v>
      </c>
      <c r="G82" s="190">
        <f t="shared" si="9"/>
        <v>0.1564637239780903</v>
      </c>
      <c r="I82" s="197">
        <f t="shared" si="8"/>
        <v>4.2521060564381513E-3</v>
      </c>
      <c r="J82" s="195">
        <f t="shared" si="8"/>
        <v>3.3698151866254624E-3</v>
      </c>
      <c r="K82" s="195">
        <f t="shared" si="8"/>
        <v>1.4982183491808545E-3</v>
      </c>
      <c r="L82" s="195">
        <f t="shared" si="8"/>
        <v>9.6031345185648091E-4</v>
      </c>
      <c r="M82" s="194">
        <f t="shared" si="10"/>
        <v>7.1346555829651176E-5</v>
      </c>
      <c r="N82" s="198">
        <f t="shared" si="11"/>
        <v>7.1346555829651176E-5</v>
      </c>
    </row>
    <row r="83" spans="1:17" ht="18" customHeight="1" x14ac:dyDescent="0.35">
      <c r="A83" s="188" t="s">
        <v>102</v>
      </c>
      <c r="B83" s="454">
        <f t="shared" si="7"/>
        <v>5.4051241228975968</v>
      </c>
      <c r="C83" s="454">
        <f t="shared" si="7"/>
        <v>5.2495814350504864</v>
      </c>
      <c r="D83" s="189">
        <f t="shared" si="7"/>
        <v>2.739950799979963</v>
      </c>
      <c r="E83" s="189">
        <f t="shared" si="7"/>
        <v>1.8887486174641486</v>
      </c>
      <c r="F83" s="454">
        <f>SUM(F16:G16)/SUM(F24:G24)</f>
        <v>0.21759131918541716</v>
      </c>
      <c r="G83" s="190">
        <f t="shared" si="9"/>
        <v>0.21759131918541716</v>
      </c>
      <c r="I83" s="197">
        <f t="shared" si="8"/>
        <v>4.7987175063630184E-3</v>
      </c>
      <c r="J83" s="195">
        <f t="shared" si="8"/>
        <v>3.7860056464094627E-3</v>
      </c>
      <c r="K83" s="195">
        <f t="shared" si="8"/>
        <v>1.7093647353316648E-3</v>
      </c>
      <c r="L83" s="195">
        <f t="shared" si="8"/>
        <v>1.0926991312448168E-3</v>
      </c>
      <c r="M83" s="194">
        <f t="shared" si="10"/>
        <v>8.4075139614673877E-5</v>
      </c>
      <c r="N83" s="198">
        <f t="shared" si="11"/>
        <v>8.4075139614673877E-5</v>
      </c>
      <c r="P83" s="180"/>
      <c r="Q83" s="268"/>
    </row>
    <row r="84" spans="1:17" ht="18" customHeight="1" thickBot="1" x14ac:dyDescent="0.4">
      <c r="A84" s="191" t="s">
        <v>103</v>
      </c>
      <c r="B84" s="422">
        <f t="shared" si="7"/>
        <v>8.4430773043986118</v>
      </c>
      <c r="C84" s="422">
        <f t="shared" si="7"/>
        <v>7.2791100748728264</v>
      </c>
      <c r="D84" s="192">
        <f>D33</f>
        <v>3.5907188868060209</v>
      </c>
      <c r="E84" s="192">
        <f>E33</f>
        <v>2.7513264758531486</v>
      </c>
      <c r="F84" s="422">
        <f>SUM(F17:G17)/SUM(F25:G25)</f>
        <v>0.34973181613095822</v>
      </c>
      <c r="G84" s="193">
        <f t="shared" si="9"/>
        <v>0.34973181613095822</v>
      </c>
      <c r="I84" s="199">
        <f t="shared" si="8"/>
        <v>8.6250877593109145E-3</v>
      </c>
      <c r="J84" s="200">
        <f t="shared" si="8"/>
        <v>6.7383743634924715E-3</v>
      </c>
      <c r="K84" s="200">
        <f t="shared" si="8"/>
        <v>2.9882964895864865E-3</v>
      </c>
      <c r="L84" s="200">
        <f t="shared" si="8"/>
        <v>1.9475988999576525E-3</v>
      </c>
      <c r="M84" s="200">
        <f t="shared" si="10"/>
        <v>1.5342085395005496E-4</v>
      </c>
      <c r="N84" s="455">
        <f>M84</f>
        <v>1.5342085395005496E-4</v>
      </c>
      <c r="P84" s="180"/>
      <c r="Q84" s="268"/>
    </row>
    <row r="85" spans="1:17" x14ac:dyDescent="0.35">
      <c r="P85" s="180"/>
      <c r="Q85" s="268"/>
    </row>
    <row r="86" spans="1:17" s="5" customFormat="1" ht="16.5" customHeight="1" x14ac:dyDescent="0.35">
      <c r="A86" s="5" t="s">
        <v>199</v>
      </c>
    </row>
    <row r="87" spans="1:17" ht="5.2" customHeight="1" thickBot="1" x14ac:dyDescent="0.4"/>
    <row r="88" spans="1:17" ht="22.5" customHeight="1" x14ac:dyDescent="0.35">
      <c r="A88" s="614" t="s">
        <v>97</v>
      </c>
      <c r="B88" s="515" t="s">
        <v>125</v>
      </c>
      <c r="C88" s="515"/>
      <c r="D88" s="515"/>
      <c r="E88" s="616" t="s">
        <v>124</v>
      </c>
    </row>
    <row r="89" spans="1:17" ht="30" customHeight="1" x14ac:dyDescent="0.35">
      <c r="A89" s="615"/>
      <c r="B89" s="563" t="s">
        <v>95</v>
      </c>
      <c r="C89" s="563" t="s">
        <v>96</v>
      </c>
      <c r="D89" s="563" t="s">
        <v>4</v>
      </c>
      <c r="E89" s="617"/>
    </row>
    <row r="90" spans="1:17" ht="18" customHeight="1" x14ac:dyDescent="0.35">
      <c r="A90" s="185" t="s">
        <v>98</v>
      </c>
      <c r="B90" s="202">
        <f>'I. Datos de entrada'!C122*B79+'I. Datos de entrada'!H122*C79</f>
        <v>492004.28741479316</v>
      </c>
      <c r="C90" s="204">
        <f>SUMPRODUCT(I79:N79,'I. Datos de entrada'!C108:H108)*1000</f>
        <v>109478.17184136722</v>
      </c>
      <c r="D90" s="203">
        <f>SUM(B90:C90)</f>
        <v>601482.45925616042</v>
      </c>
      <c r="E90" s="206">
        <f>B90/D90</f>
        <v>0.81798609393072508</v>
      </c>
    </row>
    <row r="91" spans="1:17" ht="18" customHeight="1" x14ac:dyDescent="0.35">
      <c r="A91" s="188" t="s">
        <v>99</v>
      </c>
      <c r="B91" s="204">
        <f>SUMPRODUCT(B80:G80,'I. Datos de entrada'!C123:H123)</f>
        <v>78422.562579535763</v>
      </c>
      <c r="C91" s="204">
        <f>SUMPRODUCT(I80:N80,'I. Datos de entrada'!C109:H109)*1000</f>
        <v>56065.829531762203</v>
      </c>
      <c r="D91" s="205">
        <f t="shared" ref="D91:D95" si="12">SUM(B91:C91)</f>
        <v>134488.39211129796</v>
      </c>
      <c r="E91" s="207">
        <f t="shared" ref="E91:E95" si="13">B91/D91</f>
        <v>0.58311770516697048</v>
      </c>
      <c r="F91" s="248"/>
      <c r="G91" s="201"/>
    </row>
    <row r="92" spans="1:17" ht="18" customHeight="1" x14ac:dyDescent="0.35">
      <c r="A92" s="188" t="s">
        <v>100</v>
      </c>
      <c r="B92" s="204">
        <f>SUMPRODUCT(B81:G81,'I. Datos de entrada'!C124:H124)</f>
        <v>250048.34465458797</v>
      </c>
      <c r="C92" s="204">
        <f>SUMPRODUCT(I81:N81,'I. Datos de entrada'!C110:H110)*1000</f>
        <v>92934.443671613597</v>
      </c>
      <c r="D92" s="205">
        <f t="shared" si="12"/>
        <v>342982.78832620155</v>
      </c>
      <c r="E92" s="207">
        <f t="shared" si="13"/>
        <v>0.72904050338751647</v>
      </c>
      <c r="F92" s="201"/>
      <c r="G92" s="201"/>
      <c r="I92" s="201"/>
    </row>
    <row r="93" spans="1:17" ht="18" customHeight="1" x14ac:dyDescent="0.35">
      <c r="A93" s="188" t="s">
        <v>101</v>
      </c>
      <c r="B93" s="204">
        <f>SUMPRODUCT(B82:G82,'I. Datos de entrada'!C125:H125)</f>
        <v>62042.937169232413</v>
      </c>
      <c r="C93" s="204">
        <f>SUMPRODUCT(I82:N82,'I. Datos de entrada'!C111:H111)*1000</f>
        <v>24632.699169518717</v>
      </c>
      <c r="D93" s="205">
        <f t="shared" si="12"/>
        <v>86675.636338751123</v>
      </c>
      <c r="E93" s="207">
        <f t="shared" si="13"/>
        <v>0.71580596105175787</v>
      </c>
      <c r="F93" s="201"/>
      <c r="G93" s="201"/>
      <c r="I93" s="201"/>
    </row>
    <row r="94" spans="1:17" ht="18" customHeight="1" x14ac:dyDescent="0.35">
      <c r="A94" s="188" t="s">
        <v>102</v>
      </c>
      <c r="B94" s="204">
        <f>SUMPRODUCT(B83:G83,'I. Datos de entrada'!C126:H126)</f>
        <v>29073.075977950364</v>
      </c>
      <c r="C94" s="204">
        <f>SUMPRODUCT(I83:N83,'I. Datos de entrada'!C112:H112)*1000</f>
        <v>12387.356608736231</v>
      </c>
      <c r="D94" s="205">
        <f t="shared" si="12"/>
        <v>41460.432586686598</v>
      </c>
      <c r="E94" s="207">
        <f t="shared" si="13"/>
        <v>0.70122461740271491</v>
      </c>
      <c r="F94" s="201"/>
      <c r="G94" s="201"/>
      <c r="I94" s="201"/>
    </row>
    <row r="95" spans="1:17" ht="18" customHeight="1" thickBot="1" x14ac:dyDescent="0.4">
      <c r="A95" s="191" t="s">
        <v>103</v>
      </c>
      <c r="B95" s="208">
        <f>SUMPRODUCT(B84:G84,'I. Datos de entrada'!C127:H127)</f>
        <v>77617.423642114663</v>
      </c>
      <c r="C95" s="208">
        <f>SUMPRODUCT(I84:N84,'I. Datos de entrada'!C113:H113)*1000</f>
        <v>34237.709656406783</v>
      </c>
      <c r="D95" s="209">
        <f t="shared" si="12"/>
        <v>111855.13329852145</v>
      </c>
      <c r="E95" s="210">
        <f t="shared" si="13"/>
        <v>0.69391025117253735</v>
      </c>
      <c r="F95" s="201"/>
      <c r="G95" s="201"/>
    </row>
    <row r="96" spans="1:17" ht="7.5" customHeight="1" thickBot="1" x14ac:dyDescent="0.4"/>
    <row r="97" spans="1:5" ht="15.75" customHeight="1" thickBot="1" x14ac:dyDescent="0.4">
      <c r="A97" s="342" t="s">
        <v>1</v>
      </c>
      <c r="B97" s="336">
        <f>SUM(B90:B95)</f>
        <v>989208.63143821422</v>
      </c>
      <c r="C97" s="336">
        <f>SUM(C90:C95)</f>
        <v>329736.21047940472</v>
      </c>
      <c r="D97" s="337">
        <f>SUM(B97:C97)</f>
        <v>1318944.8419176189</v>
      </c>
      <c r="E97" s="343">
        <f>B97/D97</f>
        <v>0.75</v>
      </c>
    </row>
    <row r="98" spans="1:5" x14ac:dyDescent="0.35">
      <c r="C98" s="180"/>
      <c r="D98" s="65"/>
    </row>
    <row r="100" spans="1:5" x14ac:dyDescent="0.35">
      <c r="B100" s="249"/>
      <c r="C100" s="248"/>
    </row>
    <row r="101" spans="1:5" x14ac:dyDescent="0.35">
      <c r="B101" s="249"/>
      <c r="C101" s="201"/>
    </row>
    <row r="103" spans="1:5" x14ac:dyDescent="0.35">
      <c r="B103" s="249"/>
    </row>
    <row r="104" spans="1:5" x14ac:dyDescent="0.35">
      <c r="B104" s="249"/>
    </row>
    <row r="105" spans="1:5" x14ac:dyDescent="0.35">
      <c r="B105" s="249"/>
    </row>
    <row r="106" spans="1:5" x14ac:dyDescent="0.35">
      <c r="B106" s="250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workbookViewId="0">
      <selection activeCell="B98" sqref="B98:D98"/>
    </sheetView>
  </sheetViews>
  <sheetFormatPr baseColWidth="10" defaultRowHeight="12.75" x14ac:dyDescent="0.35"/>
  <cols>
    <col min="2" max="2" width="14.19921875" customWidth="1"/>
    <col min="3" max="3" width="18.53125" customWidth="1"/>
    <col min="4" max="4" width="14.265625" customWidth="1"/>
    <col min="5" max="5" width="13.265625" customWidth="1"/>
    <col min="6" max="6" width="13.73046875" bestFit="1" customWidth="1"/>
    <col min="7" max="7" width="12.73046875" customWidth="1"/>
    <col min="8" max="8" width="2.265625" customWidth="1"/>
    <col min="9" max="12" width="12.796875" bestFit="1" customWidth="1"/>
    <col min="13" max="13" width="11.796875" bestFit="1" customWidth="1"/>
    <col min="14" max="14" width="12.796875" bestFit="1" customWidth="1"/>
    <col min="15" max="15" width="4.4648437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25" customFormat="1" ht="30" customHeight="1" x14ac:dyDescent="0.35">
      <c r="A6" s="325" t="s">
        <v>192</v>
      </c>
    </row>
    <row r="7" spans="1:14" s="5" customFormat="1" ht="16.5" customHeight="1" x14ac:dyDescent="0.35">
      <c r="A7" s="5" t="s">
        <v>200</v>
      </c>
    </row>
    <row r="8" spans="1:14" ht="5.2" customHeight="1" thickBot="1" x14ac:dyDescent="0.4"/>
    <row r="9" spans="1:14" ht="25.5" customHeight="1" thickBot="1" x14ac:dyDescent="0.4">
      <c r="B9" s="141" t="s">
        <v>95</v>
      </c>
      <c r="C9" s="142"/>
      <c r="D9" s="142"/>
      <c r="E9" s="142"/>
      <c r="F9" s="142"/>
      <c r="G9" s="143"/>
      <c r="I9" s="141" t="s">
        <v>96</v>
      </c>
      <c r="J9" s="142"/>
      <c r="K9" s="142"/>
      <c r="L9" s="142"/>
      <c r="M9" s="142"/>
      <c r="N9" s="143"/>
    </row>
    <row r="10" spans="1:14" ht="13.15" thickBot="1" x14ac:dyDescent="0.4"/>
    <row r="11" spans="1:14" ht="25.05" customHeight="1" x14ac:dyDescent="0.35">
      <c r="A11" s="614" t="s">
        <v>53</v>
      </c>
      <c r="B11" s="515" t="s">
        <v>104</v>
      </c>
      <c r="C11" s="515"/>
      <c r="D11" s="515"/>
      <c r="E11" s="515"/>
      <c r="F11" s="515"/>
      <c r="G11" s="516"/>
      <c r="I11" s="561" t="s">
        <v>126</v>
      </c>
      <c r="J11" s="515"/>
      <c r="K11" s="515"/>
      <c r="L11" s="515"/>
      <c r="M11" s="515"/>
      <c r="N11" s="516"/>
    </row>
    <row r="12" spans="1:14" ht="25.05" customHeight="1" x14ac:dyDescent="0.35">
      <c r="A12" s="615"/>
      <c r="B12" s="517" t="s">
        <v>15</v>
      </c>
      <c r="C12" s="517" t="s">
        <v>16</v>
      </c>
      <c r="D12" s="517" t="s">
        <v>17</v>
      </c>
      <c r="E12" s="517" t="s">
        <v>18</v>
      </c>
      <c r="F12" s="517" t="s">
        <v>19</v>
      </c>
      <c r="G12" s="518" t="s">
        <v>20</v>
      </c>
      <c r="I12" s="562" t="s">
        <v>15</v>
      </c>
      <c r="J12" s="517" t="s">
        <v>16</v>
      </c>
      <c r="K12" s="517" t="s">
        <v>17</v>
      </c>
      <c r="L12" s="517" t="s">
        <v>18</v>
      </c>
      <c r="M12" s="517" t="s">
        <v>19</v>
      </c>
      <c r="N12" s="518" t="s">
        <v>20</v>
      </c>
    </row>
    <row r="13" spans="1:14" ht="15" customHeight="1" x14ac:dyDescent="0.35">
      <c r="A13" s="132" t="s">
        <v>10</v>
      </c>
      <c r="B13" s="133">
        <f>'IV. Metodología de asignación'!J65+'IV. Metodología de asignación'!J67+'IV. Metodología de asignación'!J70+'IV. Metodología de asignación'!J74</f>
        <v>1258046.3038499148</v>
      </c>
      <c r="C13" s="133">
        <f>'IV. Metodología de asignación'!K65+'IV. Metodología de asignación'!K67+'IV. Metodología de asignación'!K70+'IV. Metodología de asignación'!K74</f>
        <v>1237835.5321688594</v>
      </c>
      <c r="D13" s="133">
        <f>'IV. Metodología de asignación'!L65+'IV. Metodología de asignación'!L67+'IV. Metodología de asignación'!L70+'IV. Metodología de asignación'!L74</f>
        <v>317570.04559622181</v>
      </c>
      <c r="E13" s="133">
        <f>'IV. Metodología de asignación'!M65+'IV. Metodología de asignación'!M67+'IV. Metodología de asignación'!M70+'IV. Metodología de asignación'!M74</f>
        <v>286502.13969812839</v>
      </c>
      <c r="F13" s="133">
        <f>'IV. Metodología de asignación'!N65+'IV. Metodología de asignación'!N67+'IV. Metodología de asignación'!N70+'IV. Metodología de asignación'!N74</f>
        <v>3900.4950872022237</v>
      </c>
      <c r="G13" s="134">
        <f>'IV. Metodología de asignación'!O65+'IV. Metodología de asignación'!O67+'IV. Metodología de asignación'!O70+'IV. Metodología de asignación'!O74</f>
        <v>378286.99765237438</v>
      </c>
      <c r="I13" s="144">
        <f>'IV. Metodología de asignación'!J85+'IV. Metodología de asignación'!J87+'IV. Metodología de asignación'!J90+'IV. Metodología de asignación'!J94</f>
        <v>174644.15104027971</v>
      </c>
      <c r="J13" s="133">
        <f>'IV. Metodología de asignación'!K85+'IV. Metodología de asignación'!K87+'IV. Metodología de asignación'!K90+'IV. Metodología de asignación'!K94</f>
        <v>170933.13001910897</v>
      </c>
      <c r="K13" s="133">
        <f>'IV. Metodología de asignación'!L85+'IV. Metodología de asignación'!L87+'IV. Metodología de asignación'!L90+'IV. Metodología de asignación'!L94</f>
        <v>56880.46641373579</v>
      </c>
      <c r="L13" s="133">
        <f>'IV. Metodología de asignación'!M85+'IV. Metodología de asignación'!M87+'IV. Metodología de asignación'!M90+'IV. Metodología de asignación'!M94</f>
        <v>48626.079833982425</v>
      </c>
      <c r="M13" s="133">
        <f>'IV. Metodología de asignación'!N85+'IV. Metodología de asignación'!N87+'IV. Metodología de asignación'!N90+'IV. Metodología de asignación'!N94</f>
        <v>466.73099855642698</v>
      </c>
      <c r="N13" s="134">
        <f>'IV. Metodología de asignación'!O85+'IV. Metodología de asignación'!O87+'IV. Metodología de asignación'!O90+'IV. Metodología de asignación'!O94</f>
        <v>17013.95253964439</v>
      </c>
    </row>
    <row r="14" spans="1:14" ht="15" customHeight="1" x14ac:dyDescent="0.35">
      <c r="A14" s="135" t="s">
        <v>11</v>
      </c>
      <c r="B14" s="136">
        <f>'IV. Metodología de asignación'!J66+'IV. Metodología de asignación'!J69+'IV. Metodología de asignación'!J73</f>
        <v>227278.43933515516</v>
      </c>
      <c r="C14" s="136">
        <f>'IV. Metodología de asignación'!K66+'IV. Metodología de asignación'!K69+'IV. Metodología de asignación'!K73</f>
        <v>221105.45116575924</v>
      </c>
      <c r="D14" s="136">
        <f>'IV. Metodología de asignación'!L66+'IV. Metodología de asignación'!L69+'IV. Metodología de asignación'!L73</f>
        <v>114325.53627177056</v>
      </c>
      <c r="E14" s="136">
        <f>'IV. Metodología de asignación'!M66+'IV. Metodología de asignación'!M69+'IV. Metodología de asignación'!M73</f>
        <v>97331.229567373564</v>
      </c>
      <c r="F14" s="136">
        <f>'IV. Metodología de asignación'!N66+'IV. Metodología de asignación'!N69+'IV. Metodología de asignación'!N73</f>
        <v>851.27135503899456</v>
      </c>
      <c r="G14" s="137">
        <f>'IV. Metodología de asignación'!O66+'IV. Metodología de asignación'!O69+'IV. Metodología de asignación'!O73</f>
        <v>16175.459913851872</v>
      </c>
      <c r="I14" s="145">
        <f>'IV. Metodología de asignación'!J86+'IV. Metodología de asignación'!J89+'IV. Metodología de asignación'!J93</f>
        <v>92153.345543288611</v>
      </c>
      <c r="J14" s="136">
        <f>'IV. Metodología de asignación'!K86+'IV. Metodología de asignación'!K89+'IV. Metodología de asignación'!K93</f>
        <v>92257.736784848879</v>
      </c>
      <c r="K14" s="136">
        <f>'IV. Metodología de asignación'!L86+'IV. Metodología de asignación'!L89+'IV. Metodología de asignación'!L93</f>
        <v>36730.709502780264</v>
      </c>
      <c r="L14" s="136">
        <f>'IV. Metodología de asignación'!M86+'IV. Metodología de asignación'!M89+'IV. Metodología de asignación'!M93</f>
        <v>31732.197260136785</v>
      </c>
      <c r="M14" s="136">
        <f>'IV. Metodología de asignación'!N86+'IV. Metodología de asignación'!N89+'IV. Metodología de asignación'!N93</f>
        <v>306.14785943260262</v>
      </c>
      <c r="N14" s="137">
        <f>'IV. Metodología de asignación'!O86+'IV. Metodología de asignación'!O89+'IV. Metodología de asignación'!O93</f>
        <v>9921.2757294727817</v>
      </c>
    </row>
    <row r="15" spans="1:14" ht="15" customHeight="1" x14ac:dyDescent="0.35">
      <c r="A15" s="135" t="s">
        <v>12</v>
      </c>
      <c r="B15" s="136">
        <f>'IV. Metodología de asignación'!J68+'IV. Metodología de asignación'!J72</f>
        <v>31490.537880384498</v>
      </c>
      <c r="C15" s="136">
        <f>'IV. Metodología de asignación'!K68+'IV. Metodología de asignación'!K72</f>
        <v>32623.736400904396</v>
      </c>
      <c r="D15" s="136">
        <f>'IV. Metodología de asignación'!L68+'IV. Metodología de asignación'!L72</f>
        <v>13754.63742595429</v>
      </c>
      <c r="E15" s="136">
        <f>'IV. Metodología de asignación'!M68+'IV. Metodología de asignación'!M72</f>
        <v>11066.448024199282</v>
      </c>
      <c r="F15" s="136">
        <f>'IV. Metodología de asignación'!N68+'IV. Metodología de asignación'!N72</f>
        <v>69.833728743391816</v>
      </c>
      <c r="G15" s="137">
        <f>'IV. Metodología de asignación'!O68+'IV. Metodología de asignación'!O72</f>
        <v>2228.5320584804704</v>
      </c>
      <c r="I15" s="145">
        <f>'IV. Metodología de asignación'!J88+'IV. Metodología de asignación'!J92</f>
        <v>12752.786886192163</v>
      </c>
      <c r="J15" s="136">
        <f>'IV. Metodología de asignación'!K88+'IV. Metodología de asignación'!K92</f>
        <v>14065.869519170712</v>
      </c>
      <c r="K15" s="136">
        <f>'IV. Metodología de asignación'!L88+'IV. Metodología de asignación'!L92</f>
        <v>4808.1953083358203</v>
      </c>
      <c r="L15" s="136">
        <f>'IV. Metodología de asignación'!M88+'IV. Metodología de asignación'!M92</f>
        <v>3946.8669751530924</v>
      </c>
      <c r="M15" s="136">
        <f>'IV. Metodología de asignación'!N88+'IV. Metodología de asignación'!N92</f>
        <v>26.494711466633742</v>
      </c>
      <c r="N15" s="137">
        <f>'IV. Metodología de asignación'!O88+'IV. Metodología de asignación'!O92</f>
        <v>1255.8111958750405</v>
      </c>
    </row>
    <row r="16" spans="1:14" ht="15" customHeight="1" x14ac:dyDescent="0.35">
      <c r="A16" s="135" t="s">
        <v>13</v>
      </c>
      <c r="B16" s="136">
        <f>'IV. Metodología de asignación'!J71</f>
        <v>7766.8928650258013</v>
      </c>
      <c r="C16" s="136">
        <f>'IV. Metodología de asignación'!K71</f>
        <v>7582.896595630913</v>
      </c>
      <c r="D16" s="136">
        <f>'IV. Metodología de asignación'!L71</f>
        <v>4100.597557139894</v>
      </c>
      <c r="E16" s="136">
        <f>'IV. Metodología de asignación'!M71</f>
        <v>3426.8597653131778</v>
      </c>
      <c r="F16" s="136">
        <f>'IV. Metodología de asignación'!N71</f>
        <v>21.362229646856953</v>
      </c>
      <c r="G16" s="137">
        <f>'IV. Metodología de asignación'!O71</f>
        <v>1217.7242575373377</v>
      </c>
      <c r="I16" s="145">
        <f>'IV. Metodología de asignación'!J91</f>
        <v>3509.2533304365702</v>
      </c>
      <c r="J16" s="136">
        <f>'IV. Metodología de asignación'!K91</f>
        <v>3780.0847518918754</v>
      </c>
      <c r="K16" s="136">
        <f>'IV. Metodología de asignación'!L91</f>
        <v>1467.6741307037421</v>
      </c>
      <c r="L16" s="136">
        <f>'IV. Metodología de asignación'!M91</f>
        <v>1264.7895410628307</v>
      </c>
      <c r="M16" s="136">
        <f>'IV. Metodología de asignación'!N91</f>
        <v>8.0134630966548901</v>
      </c>
      <c r="N16" s="137">
        <f>'IV. Metodología de asignación'!O91</f>
        <v>754.20935168087897</v>
      </c>
    </row>
    <row r="17" spans="1:28" ht="15" customHeight="1" thickBot="1" x14ac:dyDescent="0.4">
      <c r="A17" s="213" t="s">
        <v>14</v>
      </c>
      <c r="B17" s="211"/>
      <c r="C17" s="211"/>
      <c r="D17" s="211"/>
      <c r="E17" s="211"/>
      <c r="F17" s="211"/>
      <c r="G17" s="212"/>
      <c r="I17" s="214"/>
      <c r="J17" s="211"/>
      <c r="K17" s="211"/>
      <c r="L17" s="211"/>
      <c r="M17" s="211"/>
      <c r="N17" s="212"/>
    </row>
    <row r="18" spans="1:28" ht="13.15" thickBot="1" x14ac:dyDescent="0.4">
      <c r="G18" s="180"/>
      <c r="N18" s="180">
        <f>SUM(I13:N16)-SUM('IV. Metodología de asignación'!E23:H23)</f>
        <v>0</v>
      </c>
    </row>
    <row r="19" spans="1:28" ht="24" customHeight="1" x14ac:dyDescent="0.35">
      <c r="A19" s="614" t="s">
        <v>53</v>
      </c>
      <c r="B19" s="515" t="s">
        <v>105</v>
      </c>
      <c r="C19" s="515"/>
      <c r="D19" s="515"/>
      <c r="E19" s="515"/>
      <c r="F19" s="515"/>
      <c r="G19" s="516"/>
      <c r="I19" s="561" t="s">
        <v>112</v>
      </c>
      <c r="J19" s="515"/>
      <c r="K19" s="515"/>
      <c r="L19" s="515"/>
      <c r="M19" s="515"/>
      <c r="N19" s="516"/>
    </row>
    <row r="20" spans="1:28" ht="24" customHeight="1" x14ac:dyDescent="0.35">
      <c r="A20" s="615"/>
      <c r="B20" s="517" t="s">
        <v>15</v>
      </c>
      <c r="C20" s="517" t="s">
        <v>16</v>
      </c>
      <c r="D20" s="517" t="s">
        <v>17</v>
      </c>
      <c r="E20" s="517" t="s">
        <v>18</v>
      </c>
      <c r="F20" s="517" t="s">
        <v>19</v>
      </c>
      <c r="G20" s="518" t="s">
        <v>20</v>
      </c>
      <c r="I20" s="562" t="s">
        <v>15</v>
      </c>
      <c r="J20" s="517" t="s">
        <v>16</v>
      </c>
      <c r="K20" s="517" t="s">
        <v>17</v>
      </c>
      <c r="L20" s="517" t="s">
        <v>18</v>
      </c>
      <c r="M20" s="517" t="s">
        <v>19</v>
      </c>
      <c r="N20" s="518" t="s">
        <v>20</v>
      </c>
    </row>
    <row r="21" spans="1:28" ht="15" customHeight="1" x14ac:dyDescent="0.35">
      <c r="A21" s="132" t="s">
        <v>10</v>
      </c>
      <c r="B21" s="133">
        <f>'I. Datos de entrada'!C122+'I. Datos de entrada'!C123</f>
        <v>143517.68990210522</v>
      </c>
      <c r="C21" s="133">
        <f>'I. Datos de entrada'!D122+'I. Datos de entrada'!D123</f>
        <v>144973.73175871052</v>
      </c>
      <c r="D21" s="133">
        <f>'I. Datos de entrada'!E122+'I. Datos de entrada'!E123</f>
        <v>145066.28512745388</v>
      </c>
      <c r="E21" s="133">
        <f>'I. Datos de entrada'!F122+'I. Datos de entrada'!F123</f>
        <v>145068.924122953</v>
      </c>
      <c r="F21" s="133">
        <f>'I. Datos de entrada'!G122+'I. Datos de entrada'!G123</f>
        <v>145071.12640381377</v>
      </c>
      <c r="G21" s="134">
        <f>'I. Datos de entrada'!H122+'I. Datos de entrada'!H123</f>
        <v>147840.70370759431</v>
      </c>
      <c r="I21" s="144">
        <f>('I. Datos de entrada'!C108+'I. Datos de entrada'!C109)*1000</f>
        <v>12160990.898959683</v>
      </c>
      <c r="J21" s="133">
        <f>('I. Datos de entrada'!D108+'I. Datos de entrada'!D109)*1000</f>
        <v>14758365.241231037</v>
      </c>
      <c r="K21" s="133">
        <f>('I. Datos de entrada'!E108+'I. Datos de entrada'!E109)*1000</f>
        <v>12390527.353300877</v>
      </c>
      <c r="L21" s="133">
        <f>('I. Datos de entrada'!F108+'I. Datos de entrada'!F109)*1000</f>
        <v>13826413.242975894</v>
      </c>
      <c r="M21" s="133">
        <f>('I. Datos de entrada'!G108+'I. Datos de entrada'!G109)*1000</f>
        <v>5528579.462173692</v>
      </c>
      <c r="N21" s="134">
        <f>('I. Datos de entrada'!H108+'I. Datos de entrada'!H109)*1000</f>
        <v>49262726.106152214</v>
      </c>
    </row>
    <row r="22" spans="1:28" ht="15" customHeight="1" x14ac:dyDescent="0.35">
      <c r="A22" s="135" t="s">
        <v>11</v>
      </c>
      <c r="B22" s="136">
        <f>'I. Datos de entrada'!C124</f>
        <v>16273.820736309061</v>
      </c>
      <c r="C22" s="136">
        <f>'I. Datos de entrada'!D124</f>
        <v>16982.548619839461</v>
      </c>
      <c r="D22" s="136">
        <f>'I. Datos de entrada'!E124</f>
        <v>17936.196911519961</v>
      </c>
      <c r="E22" s="136">
        <f>'I. Datos de entrada'!F124</f>
        <v>18065.60070139114</v>
      </c>
      <c r="F22" s="136">
        <f>'I. Datos de entrada'!G124</f>
        <v>18187.693707801915</v>
      </c>
      <c r="G22" s="137">
        <f>'I. Datos de entrada'!H124</f>
        <v>26389.912714496917</v>
      </c>
      <c r="I22" s="145">
        <f>'I. Datos de entrada'!C110*1000</f>
        <v>6925555.125064888</v>
      </c>
      <c r="J22" s="136">
        <f>'I. Datos de entrada'!D110*1000</f>
        <v>8704019.6073674969</v>
      </c>
      <c r="K22" s="136">
        <f>'I. Datos de entrada'!E110*1000</f>
        <v>8559882.5744621847</v>
      </c>
      <c r="L22" s="136">
        <f>'I. Datos de entrada'!F110*1000</f>
        <v>9540225.6668570265</v>
      </c>
      <c r="M22" s="136">
        <f>'I. Datos de entrada'!G110*1000</f>
        <v>3839946.113212673</v>
      </c>
      <c r="N22" s="137">
        <f>'I. Datos de entrada'!H110*1000</f>
        <v>32636156.548694991</v>
      </c>
    </row>
    <row r="23" spans="1:28" ht="15" customHeight="1" x14ac:dyDescent="0.35">
      <c r="A23" s="135" t="s">
        <v>12</v>
      </c>
      <c r="B23" s="136">
        <f>'I. Datos de entrada'!C125</f>
        <v>3867.4430767884951</v>
      </c>
      <c r="C23" s="136">
        <f>'I. Datos de entrada'!D125</f>
        <v>4002.8477656092423</v>
      </c>
      <c r="D23" s="136">
        <f>'I. Datos de entrada'!E125</f>
        <v>4473.388001957037</v>
      </c>
      <c r="E23" s="136">
        <f>'I. Datos de entrada'!F125</f>
        <v>4513.5790311203864</v>
      </c>
      <c r="F23" s="136">
        <f>'I. Datos de entrada'!G125</f>
        <v>4549.7206241563763</v>
      </c>
      <c r="G23" s="137">
        <f>'I. Datos de entrada'!H125</f>
        <v>6005.8978806181522</v>
      </c>
      <c r="I23" s="145">
        <f>'I. Datos de entrada'!C111*1000</f>
        <v>1971901.613859605</v>
      </c>
      <c r="J23" s="136">
        <f>'I. Datos de entrada'!D111*1000</f>
        <v>2635517.5851702192</v>
      </c>
      <c r="K23" s="136">
        <f>'I. Datos de entrada'!E111*1000</f>
        <v>2492656.6321280724</v>
      </c>
      <c r="L23" s="136">
        <f>'I. Datos de entrada'!F111*1000</f>
        <v>2841603.0891759801</v>
      </c>
      <c r="M23" s="136">
        <f>'I. Datos de entrada'!G111*1000</f>
        <v>1209749.9583392057</v>
      </c>
      <c r="N23" s="137">
        <f>'I. Datos de entrada'!H111*1000</f>
        <v>11452159.296590189</v>
      </c>
    </row>
    <row r="24" spans="1:28" ht="15" customHeight="1" x14ac:dyDescent="0.35">
      <c r="A24" s="135" t="s">
        <v>13</v>
      </c>
      <c r="B24" s="136">
        <f>'I. Datos de entrada'!C126</f>
        <v>1735.5878337102238</v>
      </c>
      <c r="C24" s="136">
        <f>'I. Datos de entrada'!D126</f>
        <v>1796.1937790576023</v>
      </c>
      <c r="D24" s="136">
        <f>'I. Datos de entrada'!E126</f>
        <v>1993.5144522216845</v>
      </c>
      <c r="E24" s="136">
        <f>'I. Datos de entrada'!F126</f>
        <v>2011.9422998600239</v>
      </c>
      <c r="F24" s="136">
        <f>'I. Datos de entrada'!G126</f>
        <v>2018.5990920870815</v>
      </c>
      <c r="G24" s="137">
        <f>'I. Datos de entrada'!H126</f>
        <v>2579.7371034593625</v>
      </c>
      <c r="I24" s="145">
        <f>'I. Datos de entrada'!C112*1000</f>
        <v>844037.12386776693</v>
      </c>
      <c r="J24" s="136">
        <f>'I. Datos de entrada'!D112*1000</f>
        <v>1157338.1030626621</v>
      </c>
      <c r="K24" s="136">
        <f>'I. Datos de entrada'!E112*1000</f>
        <v>1141789.6975924638</v>
      </c>
      <c r="L24" s="136">
        <f>'I. Datos de entrada'!F112*1000</f>
        <v>1315374.3912975474</v>
      </c>
      <c r="M24" s="136">
        <f>'I. Datos de entrada'!G112*1000</f>
        <v>562275.17650335666</v>
      </c>
      <c r="N24" s="137">
        <f>'I. Datos de entrada'!H112*1000</f>
        <v>6173708.8152581705</v>
      </c>
    </row>
    <row r="25" spans="1:28" ht="15" customHeight="1" thickBot="1" x14ac:dyDescent="0.4">
      <c r="A25" s="213" t="s">
        <v>14</v>
      </c>
      <c r="B25" s="211"/>
      <c r="C25" s="211"/>
      <c r="D25" s="211"/>
      <c r="E25" s="211"/>
      <c r="F25" s="211"/>
      <c r="G25" s="212"/>
      <c r="I25" s="214"/>
      <c r="J25" s="211"/>
      <c r="K25" s="211"/>
      <c r="L25" s="211"/>
      <c r="M25" s="211"/>
      <c r="N25" s="212"/>
    </row>
    <row r="26" spans="1:28" ht="13.15" thickBot="1" x14ac:dyDescent="0.4">
      <c r="A26" s="130"/>
      <c r="B26" s="251"/>
      <c r="C26" s="251"/>
      <c r="D26" s="251"/>
      <c r="E26" s="251"/>
      <c r="F26" s="251"/>
      <c r="G26" s="251"/>
      <c r="I26" s="131"/>
      <c r="J26" s="131"/>
      <c r="K26" s="131"/>
      <c r="L26" s="131"/>
      <c r="M26" s="131"/>
      <c r="N26" s="131"/>
    </row>
    <row r="27" spans="1:28" ht="24" customHeight="1" x14ac:dyDescent="0.35">
      <c r="A27" s="614" t="s">
        <v>53</v>
      </c>
      <c r="B27" s="515" t="s">
        <v>106</v>
      </c>
      <c r="C27" s="515"/>
      <c r="D27" s="515"/>
      <c r="E27" s="515"/>
      <c r="F27" s="515"/>
      <c r="G27" s="516"/>
      <c r="I27" s="561" t="s">
        <v>111</v>
      </c>
      <c r="J27" s="515"/>
      <c r="K27" s="515"/>
      <c r="L27" s="515"/>
      <c r="M27" s="515"/>
      <c r="N27" s="516"/>
    </row>
    <row r="28" spans="1:28" ht="24" customHeight="1" x14ac:dyDescent="0.35">
      <c r="A28" s="615"/>
      <c r="B28" s="517" t="s">
        <v>15</v>
      </c>
      <c r="C28" s="517" t="s">
        <v>16</v>
      </c>
      <c r="D28" s="517" t="s">
        <v>17</v>
      </c>
      <c r="E28" s="517" t="s">
        <v>18</v>
      </c>
      <c r="F28" s="517" t="s">
        <v>19</v>
      </c>
      <c r="G28" s="518" t="s">
        <v>20</v>
      </c>
      <c r="I28" s="562" t="s">
        <v>15</v>
      </c>
      <c r="J28" s="517" t="s">
        <v>16</v>
      </c>
      <c r="K28" s="517" t="s">
        <v>17</v>
      </c>
      <c r="L28" s="517" t="s">
        <v>18</v>
      </c>
      <c r="M28" s="517" t="s">
        <v>19</v>
      </c>
      <c r="N28" s="518" t="s">
        <v>20</v>
      </c>
    </row>
    <row r="29" spans="1:28" ht="15" customHeight="1" x14ac:dyDescent="0.35">
      <c r="A29" s="132" t="s">
        <v>10</v>
      </c>
      <c r="B29" s="165">
        <f t="shared" ref="B29:G32" si="0">B13/B21</f>
        <v>8.7657925981670974</v>
      </c>
      <c r="C29" s="165">
        <f t="shared" si="0"/>
        <v>8.5383435823330522</v>
      </c>
      <c r="D29" s="165">
        <f t="shared" si="0"/>
        <v>2.189137505776809</v>
      </c>
      <c r="E29" s="165">
        <f t="shared" si="0"/>
        <v>1.9749380608579121</v>
      </c>
      <c r="F29" s="165">
        <f t="shared" si="0"/>
        <v>2.6886777430437624E-2</v>
      </c>
      <c r="G29" s="166">
        <f t="shared" si="0"/>
        <v>2.5587472743674615</v>
      </c>
      <c r="I29" s="171">
        <f t="shared" ref="I29:N32" si="1">I13/I21</f>
        <v>1.4361013217699203E-2</v>
      </c>
      <c r="J29" s="172">
        <f t="shared" si="1"/>
        <v>1.1582118156390805E-2</v>
      </c>
      <c r="K29" s="172">
        <f t="shared" si="1"/>
        <v>4.5906412852220252E-3</v>
      </c>
      <c r="L29" s="172">
        <f t="shared" si="1"/>
        <v>3.5168976204790845E-3</v>
      </c>
      <c r="M29" s="172">
        <f t="shared" si="1"/>
        <v>8.4421504972440175E-5</v>
      </c>
      <c r="N29" s="173">
        <f t="shared" si="1"/>
        <v>3.4537172187715346E-4</v>
      </c>
      <c r="P29" s="255"/>
      <c r="Q29" s="255"/>
      <c r="R29" s="255"/>
      <c r="S29" s="255"/>
      <c r="T29" s="255"/>
      <c r="U29" s="255"/>
      <c r="W29" s="255"/>
      <c r="X29" s="255"/>
      <c r="Y29" s="255"/>
      <c r="Z29" s="255"/>
      <c r="AA29" s="255"/>
      <c r="AB29" s="255"/>
    </row>
    <row r="30" spans="1:28" ht="15" customHeight="1" x14ac:dyDescent="0.35">
      <c r="A30" s="135" t="s">
        <v>11</v>
      </c>
      <c r="B30" s="167">
        <f t="shared" si="0"/>
        <v>13.965893014175013</v>
      </c>
      <c r="C30" s="167">
        <f t="shared" si="0"/>
        <v>13.019568270657446</v>
      </c>
      <c r="D30" s="167">
        <f t="shared" si="0"/>
        <v>6.3740121072345159</v>
      </c>
      <c r="E30" s="167">
        <f t="shared" si="0"/>
        <v>5.3876553111172543</v>
      </c>
      <c r="F30" s="167">
        <f t="shared" si="0"/>
        <v>4.6804799372326546E-2</v>
      </c>
      <c r="G30" s="168">
        <f t="shared" si="0"/>
        <v>0.61294101609385454</v>
      </c>
      <c r="I30" s="174">
        <f t="shared" si="1"/>
        <v>1.3306275652874136E-2</v>
      </c>
      <c r="J30" s="175">
        <f t="shared" si="1"/>
        <v>1.0599440367385839E-2</v>
      </c>
      <c r="K30" s="175">
        <f t="shared" si="1"/>
        <v>4.2910296003783729E-3</v>
      </c>
      <c r="L30" s="175">
        <f t="shared" si="1"/>
        <v>3.3261474485216007E-3</v>
      </c>
      <c r="M30" s="175">
        <f t="shared" si="1"/>
        <v>7.972712387270077E-5</v>
      </c>
      <c r="N30" s="176">
        <f t="shared" si="1"/>
        <v>3.0399644990885118E-4</v>
      </c>
      <c r="P30" s="255"/>
      <c r="Q30" s="255"/>
      <c r="R30" s="255"/>
      <c r="S30" s="255"/>
      <c r="T30" s="255"/>
      <c r="U30" s="255"/>
      <c r="W30" s="255"/>
      <c r="X30" s="255"/>
      <c r="Y30" s="255"/>
      <c r="Z30" s="255"/>
      <c r="AA30" s="255"/>
      <c r="AB30" s="255"/>
    </row>
    <row r="31" spans="1:28" ht="15" customHeight="1" x14ac:dyDescent="0.35">
      <c r="A31" s="135" t="s">
        <v>12</v>
      </c>
      <c r="B31" s="167">
        <f t="shared" si="0"/>
        <v>8.1424696511717194</v>
      </c>
      <c r="C31" s="167">
        <f t="shared" si="0"/>
        <v>8.1501316840459435</v>
      </c>
      <c r="D31" s="167">
        <f t="shared" si="0"/>
        <v>3.0747695974364064</v>
      </c>
      <c r="E31" s="167">
        <f t="shared" si="0"/>
        <v>2.4518121756366598</v>
      </c>
      <c r="F31" s="167">
        <f t="shared" si="0"/>
        <v>1.5349014700510453E-2</v>
      </c>
      <c r="G31" s="168">
        <f t="shared" si="0"/>
        <v>0.37105726783537996</v>
      </c>
      <c r="I31" s="174">
        <f t="shared" si="1"/>
        <v>6.4672531309668746E-3</v>
      </c>
      <c r="J31" s="175">
        <f t="shared" si="1"/>
        <v>5.3370425598060446E-3</v>
      </c>
      <c r="K31" s="175">
        <f t="shared" si="1"/>
        <v>1.9289441017918652E-3</v>
      </c>
      <c r="L31" s="175">
        <f t="shared" si="1"/>
        <v>1.3889578703609946E-3</v>
      </c>
      <c r="M31" s="175">
        <f t="shared" si="1"/>
        <v>2.1900981507787582E-5</v>
      </c>
      <c r="N31" s="176">
        <f t="shared" si="1"/>
        <v>1.0965715402238168E-4</v>
      </c>
      <c r="P31" s="255"/>
      <c r="Q31" s="255"/>
      <c r="R31" s="255"/>
      <c r="S31" s="255"/>
      <c r="T31" s="255"/>
      <c r="U31" s="255"/>
      <c r="W31" s="255"/>
      <c r="X31" s="255"/>
      <c r="Y31" s="255"/>
      <c r="Z31" s="255"/>
      <c r="AA31" s="255"/>
      <c r="AB31" s="255"/>
    </row>
    <row r="32" spans="1:28" ht="15" customHeight="1" x14ac:dyDescent="0.35">
      <c r="A32" s="135" t="s">
        <v>13</v>
      </c>
      <c r="B32" s="167">
        <f t="shared" si="0"/>
        <v>4.4750791139289428</v>
      </c>
      <c r="C32" s="167">
        <f t="shared" si="0"/>
        <v>4.2216472877494224</v>
      </c>
      <c r="D32" s="167">
        <f t="shared" si="0"/>
        <v>2.0569690641419518</v>
      </c>
      <c r="E32" s="167">
        <f t="shared" si="0"/>
        <v>1.7032594650212352</v>
      </c>
      <c r="F32" s="167">
        <f t="shared" si="0"/>
        <v>1.0582700512745199E-2</v>
      </c>
      <c r="G32" s="168">
        <f t="shared" si="0"/>
        <v>0.47203424562309088</v>
      </c>
      <c r="I32" s="174">
        <f t="shared" si="1"/>
        <v>4.1577002138905392E-3</v>
      </c>
      <c r="J32" s="175">
        <f t="shared" si="1"/>
        <v>3.2661888016031295E-3</v>
      </c>
      <c r="K32" s="175">
        <f t="shared" si="1"/>
        <v>1.2854154611820605E-3</v>
      </c>
      <c r="L32" s="175">
        <f t="shared" si="1"/>
        <v>9.6154338219644271E-4</v>
      </c>
      <c r="M32" s="175">
        <f t="shared" si="1"/>
        <v>1.4251852885429757E-5</v>
      </c>
      <c r="N32" s="176">
        <f t="shared" si="1"/>
        <v>1.2216471075164235E-4</v>
      </c>
      <c r="P32" s="255"/>
      <c r="Q32" s="255"/>
      <c r="R32" s="255"/>
      <c r="S32" s="255"/>
      <c r="T32" s="255"/>
      <c r="U32" s="255"/>
      <c r="W32" s="255"/>
      <c r="X32" s="255"/>
      <c r="Y32" s="255"/>
      <c r="Z32" s="255"/>
      <c r="AA32" s="255"/>
      <c r="AB32" s="255"/>
    </row>
    <row r="33" spans="1:28" ht="15" customHeight="1" thickBot="1" x14ac:dyDescent="0.4">
      <c r="A33" s="213" t="s">
        <v>14</v>
      </c>
      <c r="B33" s="218"/>
      <c r="C33" s="218"/>
      <c r="D33" s="218"/>
      <c r="E33" s="218"/>
      <c r="F33" s="218"/>
      <c r="G33" s="219"/>
      <c r="I33" s="215"/>
      <c r="J33" s="216"/>
      <c r="K33" s="216"/>
      <c r="L33" s="216"/>
      <c r="M33" s="216"/>
      <c r="N33" s="217"/>
      <c r="P33" s="255"/>
      <c r="Q33" s="255"/>
      <c r="R33" s="255"/>
      <c r="S33" s="255"/>
      <c r="T33" s="255"/>
      <c r="U33" s="255"/>
      <c r="W33" s="255"/>
      <c r="X33" s="255"/>
      <c r="Y33" s="255"/>
      <c r="Z33" s="255"/>
      <c r="AA33" s="255"/>
      <c r="AB33" s="255"/>
    </row>
    <row r="35" spans="1:28" s="5" customFormat="1" ht="16.5" customHeight="1" x14ac:dyDescent="0.35">
      <c r="A35" s="5" t="s">
        <v>113</v>
      </c>
    </row>
    <row r="36" spans="1:28" ht="5.2" customHeight="1" thickBot="1" x14ac:dyDescent="0.4">
      <c r="A36" s="153"/>
      <c r="B36" s="155"/>
      <c r="C36" s="35"/>
    </row>
    <row r="37" spans="1:28" ht="18" customHeight="1" x14ac:dyDescent="0.35">
      <c r="A37" s="614" t="s">
        <v>53</v>
      </c>
      <c r="B37" s="515" t="s">
        <v>95</v>
      </c>
      <c r="C37" s="515"/>
      <c r="D37" s="515"/>
      <c r="E37" s="515"/>
      <c r="F37" s="515"/>
      <c r="G37" s="516"/>
      <c r="I37" s="561" t="s">
        <v>96</v>
      </c>
      <c r="J37" s="515"/>
      <c r="K37" s="515"/>
      <c r="L37" s="515"/>
      <c r="M37" s="515"/>
      <c r="N37" s="516"/>
    </row>
    <row r="38" spans="1:28" ht="18" customHeight="1" x14ac:dyDescent="0.35">
      <c r="A38" s="615"/>
      <c r="B38" s="517" t="s">
        <v>15</v>
      </c>
      <c r="C38" s="517" t="s">
        <v>16</v>
      </c>
      <c r="D38" s="517" t="s">
        <v>17</v>
      </c>
      <c r="E38" s="517" t="s">
        <v>18</v>
      </c>
      <c r="F38" s="517" t="s">
        <v>19</v>
      </c>
      <c r="G38" s="518" t="s">
        <v>20</v>
      </c>
      <c r="I38" s="562" t="s">
        <v>15</v>
      </c>
      <c r="J38" s="517" t="s">
        <v>16</v>
      </c>
      <c r="K38" s="517" t="s">
        <v>17</v>
      </c>
      <c r="L38" s="517" t="s">
        <v>18</v>
      </c>
      <c r="M38" s="517" t="s">
        <v>19</v>
      </c>
      <c r="N38" s="518" t="s">
        <v>20</v>
      </c>
    </row>
    <row r="39" spans="1:28" ht="15" customHeight="1" x14ac:dyDescent="0.35">
      <c r="A39" s="132" t="s">
        <v>10</v>
      </c>
      <c r="B39" s="156">
        <f t="shared" ref="B39:G42" si="2">B29/$G29</f>
        <v>3.4258141419355521</v>
      </c>
      <c r="C39" s="156">
        <f t="shared" si="2"/>
        <v>3.3369233717869946</v>
      </c>
      <c r="D39" s="156">
        <f t="shared" si="2"/>
        <v>0.85555049836564168</v>
      </c>
      <c r="E39" s="156">
        <f t="shared" si="2"/>
        <v>0.77183787576134466</v>
      </c>
      <c r="F39" s="156">
        <f t="shared" si="2"/>
        <v>1.0507789377942457E-2</v>
      </c>
      <c r="G39" s="159">
        <f t="shared" si="2"/>
        <v>1</v>
      </c>
      <c r="I39" s="158">
        <f t="shared" ref="I39:N42" si="3">I29/$N29</f>
        <v>41.58132327581621</v>
      </c>
      <c r="J39" s="156">
        <f t="shared" si="3"/>
        <v>33.535224289470037</v>
      </c>
      <c r="K39" s="156">
        <f t="shared" si="3"/>
        <v>13.291885219412629</v>
      </c>
      <c r="L39" s="156">
        <f t="shared" si="3"/>
        <v>10.182934495517333</v>
      </c>
      <c r="M39" s="156">
        <f t="shared" si="3"/>
        <v>0.24443664499686044</v>
      </c>
      <c r="N39" s="159">
        <f t="shared" si="3"/>
        <v>1</v>
      </c>
    </row>
    <row r="40" spans="1:28" ht="15" customHeight="1" x14ac:dyDescent="0.35">
      <c r="A40" s="135" t="s">
        <v>11</v>
      </c>
      <c r="B40" s="157">
        <f t="shared" si="2"/>
        <v>22.78505214608861</v>
      </c>
      <c r="C40" s="157">
        <f t="shared" si="2"/>
        <v>21.241143811240505</v>
      </c>
      <c r="D40" s="157">
        <f t="shared" si="2"/>
        <v>10.399062780713825</v>
      </c>
      <c r="E40" s="157">
        <f t="shared" si="2"/>
        <v>8.7898430185854739</v>
      </c>
      <c r="F40" s="157">
        <f t="shared" si="2"/>
        <v>7.6361017036522996E-2</v>
      </c>
      <c r="G40" s="161">
        <f t="shared" si="2"/>
        <v>1</v>
      </c>
      <c r="I40" s="160">
        <f t="shared" si="3"/>
        <v>43.77115475152366</v>
      </c>
      <c r="J40" s="157">
        <f t="shared" si="3"/>
        <v>34.866987330161002</v>
      </c>
      <c r="K40" s="157">
        <f t="shared" si="3"/>
        <v>14.115393787213549</v>
      </c>
      <c r="L40" s="157">
        <f t="shared" si="3"/>
        <v>10.94140227466109</v>
      </c>
      <c r="M40" s="157">
        <f t="shared" si="3"/>
        <v>0.26226333859032158</v>
      </c>
      <c r="N40" s="161">
        <f t="shared" si="3"/>
        <v>1</v>
      </c>
    </row>
    <row r="41" spans="1:28" ht="15" customHeight="1" x14ac:dyDescent="0.35">
      <c r="A41" s="135" t="s">
        <v>12</v>
      </c>
      <c r="B41" s="157">
        <f t="shared" si="2"/>
        <v>21.943970262790099</v>
      </c>
      <c r="C41" s="157">
        <f t="shared" si="2"/>
        <v>21.964619455080342</v>
      </c>
      <c r="D41" s="157">
        <f t="shared" si="2"/>
        <v>8.2865095605687795</v>
      </c>
      <c r="E41" s="157">
        <f t="shared" si="2"/>
        <v>6.6076381954184207</v>
      </c>
      <c r="F41" s="157">
        <f t="shared" si="2"/>
        <v>4.136562205087993E-2</v>
      </c>
      <c r="G41" s="161">
        <f t="shared" si="2"/>
        <v>1</v>
      </c>
      <c r="I41" s="160">
        <f t="shared" si="3"/>
        <v>58.977028800573009</v>
      </c>
      <c r="J41" s="157">
        <f t="shared" si="3"/>
        <v>48.670263307369098</v>
      </c>
      <c r="K41" s="157">
        <f t="shared" si="3"/>
        <v>17.590681784411039</v>
      </c>
      <c r="L41" s="157">
        <f t="shared" si="3"/>
        <v>12.666368033566693</v>
      </c>
      <c r="M41" s="157">
        <f t="shared" si="3"/>
        <v>0.19972232275258084</v>
      </c>
      <c r="N41" s="161">
        <f t="shared" si="3"/>
        <v>1</v>
      </c>
    </row>
    <row r="42" spans="1:28" ht="15" customHeight="1" x14ac:dyDescent="0.35">
      <c r="A42" s="135" t="s">
        <v>13</v>
      </c>
      <c r="B42" s="157">
        <f t="shared" si="2"/>
        <v>9.4804119731223828</v>
      </c>
      <c r="C42" s="157">
        <f t="shared" si="2"/>
        <v>8.9435190918760501</v>
      </c>
      <c r="D42" s="157">
        <f t="shared" si="2"/>
        <v>4.3576691378116603</v>
      </c>
      <c r="E42" s="157">
        <f t="shared" si="2"/>
        <v>3.6083387610424582</v>
      </c>
      <c r="F42" s="157">
        <f t="shared" si="2"/>
        <v>2.2419349042728683E-2</v>
      </c>
      <c r="G42" s="161">
        <f t="shared" si="2"/>
        <v>1</v>
      </c>
      <c r="I42" s="160">
        <f t="shared" si="3"/>
        <v>34.033561642388158</v>
      </c>
      <c r="J42" s="157">
        <f t="shared" si="3"/>
        <v>26.735943477517054</v>
      </c>
      <c r="K42" s="157">
        <f t="shared" si="3"/>
        <v>10.521986695448216</v>
      </c>
      <c r="L42" s="157">
        <f t="shared" si="3"/>
        <v>7.8708767554914871</v>
      </c>
      <c r="M42" s="157">
        <f t="shared" si="3"/>
        <v>0.11666096369190773</v>
      </c>
      <c r="N42" s="161">
        <f t="shared" si="3"/>
        <v>1</v>
      </c>
    </row>
    <row r="43" spans="1:28" ht="15" customHeight="1" thickBot="1" x14ac:dyDescent="0.4">
      <c r="A43" s="138" t="s">
        <v>14</v>
      </c>
      <c r="B43" s="163"/>
      <c r="C43" s="163"/>
      <c r="D43" s="163"/>
      <c r="E43" s="163"/>
      <c r="F43" s="163"/>
      <c r="G43" s="164"/>
      <c r="I43" s="162"/>
      <c r="J43" s="163"/>
      <c r="K43" s="163"/>
      <c r="L43" s="163"/>
      <c r="M43" s="163"/>
      <c r="N43" s="164"/>
    </row>
    <row r="65" spans="1:28" s="5" customFormat="1" ht="16.5" customHeight="1" x14ac:dyDescent="0.35">
      <c r="A65" s="5" t="s">
        <v>127</v>
      </c>
    </row>
    <row r="66" spans="1:28" ht="13.15" thickBot="1" x14ac:dyDescent="0.4">
      <c r="A66" s="153"/>
      <c r="B66" s="155"/>
      <c r="C66" s="35"/>
    </row>
    <row r="67" spans="1:28" ht="18" customHeight="1" x14ac:dyDescent="0.35">
      <c r="A67" s="614" t="s">
        <v>53</v>
      </c>
      <c r="B67" s="515" t="s">
        <v>95</v>
      </c>
      <c r="C67" s="515"/>
      <c r="D67" s="515"/>
      <c r="E67" s="515"/>
      <c r="F67" s="515"/>
      <c r="G67" s="516"/>
      <c r="I67" s="561" t="s">
        <v>96</v>
      </c>
      <c r="J67" s="515"/>
      <c r="K67" s="515"/>
      <c r="L67" s="515"/>
      <c r="M67" s="515"/>
      <c r="N67" s="516"/>
    </row>
    <row r="68" spans="1:28" ht="18" customHeight="1" x14ac:dyDescent="0.35">
      <c r="A68" s="615"/>
      <c r="B68" s="517" t="s">
        <v>15</v>
      </c>
      <c r="C68" s="517" t="s">
        <v>16</v>
      </c>
      <c r="D68" s="517" t="s">
        <v>17</v>
      </c>
      <c r="E68" s="517" t="s">
        <v>18</v>
      </c>
      <c r="F68" s="517" t="s">
        <v>19</v>
      </c>
      <c r="G68" s="518" t="s">
        <v>20</v>
      </c>
      <c r="I68" s="562" t="s">
        <v>15</v>
      </c>
      <c r="J68" s="517" t="s">
        <v>16</v>
      </c>
      <c r="K68" s="517" t="s">
        <v>17</v>
      </c>
      <c r="L68" s="517" t="s">
        <v>18</v>
      </c>
      <c r="M68" s="517" t="s">
        <v>19</v>
      </c>
      <c r="N68" s="518" t="s">
        <v>20</v>
      </c>
    </row>
    <row r="69" spans="1:28" ht="18" customHeight="1" x14ac:dyDescent="0.35">
      <c r="A69" s="132" t="s">
        <v>10</v>
      </c>
      <c r="B69" s="156">
        <f t="shared" ref="B69:G72" si="4">B29/B$32</f>
        <v>1.9588017049537874</v>
      </c>
      <c r="C69" s="156">
        <f t="shared" si="4"/>
        <v>2.0225146726752907</v>
      </c>
      <c r="D69" s="156">
        <f t="shared" si="4"/>
        <v>1.0642539763669174</v>
      </c>
      <c r="E69" s="156">
        <f t="shared" si="4"/>
        <v>1.1595051144091484</v>
      </c>
      <c r="F69" s="156">
        <f t="shared" si="4"/>
        <v>2.5406348217127306</v>
      </c>
      <c r="G69" s="159">
        <f t="shared" si="4"/>
        <v>5.4206814401567085</v>
      </c>
      <c r="I69" s="158">
        <f t="shared" ref="I69:N72" si="5">I29/I$32</f>
        <v>3.4540761668482549</v>
      </c>
      <c r="J69" s="156">
        <f t="shared" si="5"/>
        <v>3.5460651113328181</v>
      </c>
      <c r="K69" s="156">
        <f t="shared" si="5"/>
        <v>3.5713288223563908</v>
      </c>
      <c r="L69" s="156">
        <f t="shared" si="5"/>
        <v>3.6575548078189408</v>
      </c>
      <c r="M69" s="156">
        <f t="shared" si="5"/>
        <v>5.9235459172293083</v>
      </c>
      <c r="N69" s="159">
        <f t="shared" si="5"/>
        <v>2.8270989204016952</v>
      </c>
    </row>
    <row r="70" spans="1:28" ht="18" customHeight="1" x14ac:dyDescent="0.35">
      <c r="A70" s="135" t="s">
        <v>11</v>
      </c>
      <c r="B70" s="157">
        <f t="shared" si="4"/>
        <v>3.1208147741355816</v>
      </c>
      <c r="C70" s="157">
        <f t="shared" si="4"/>
        <v>3.0840019033419135</v>
      </c>
      <c r="D70" s="157">
        <f t="shared" si="4"/>
        <v>3.0987398976237808</v>
      </c>
      <c r="E70" s="157">
        <f t="shared" si="4"/>
        <v>3.1631442077734673</v>
      </c>
      <c r="F70" s="157">
        <f t="shared" si="4"/>
        <v>4.4227651832306432</v>
      </c>
      <c r="G70" s="161">
        <f t="shared" si="4"/>
        <v>1.2985096352167522</v>
      </c>
      <c r="I70" s="160">
        <f t="shared" si="5"/>
        <v>3.2003932386512495</v>
      </c>
      <c r="J70" s="157">
        <f t="shared" si="5"/>
        <v>3.2452013680848335</v>
      </c>
      <c r="K70" s="157">
        <f t="shared" si="5"/>
        <v>3.3382433384085544</v>
      </c>
      <c r="L70" s="157">
        <f t="shared" si="5"/>
        <v>3.4591756441854131</v>
      </c>
      <c r="M70" s="157">
        <f t="shared" si="5"/>
        <v>5.594158493890224</v>
      </c>
      <c r="N70" s="161">
        <f t="shared" si="5"/>
        <v>2.488414600570438</v>
      </c>
    </row>
    <row r="71" spans="1:28" ht="18" customHeight="1" x14ac:dyDescent="0.35">
      <c r="A71" s="135" t="s">
        <v>12</v>
      </c>
      <c r="B71" s="157">
        <f t="shared" si="4"/>
        <v>1.819514123410201</v>
      </c>
      <c r="C71" s="157">
        <f t="shared" si="4"/>
        <v>1.9305572276718579</v>
      </c>
      <c r="D71" s="157">
        <f t="shared" si="4"/>
        <v>1.4948059506762792</v>
      </c>
      <c r="E71" s="157">
        <f t="shared" si="4"/>
        <v>1.4394824898895202</v>
      </c>
      <c r="F71" s="157">
        <f t="shared" si="4"/>
        <v>1.4503873261862581</v>
      </c>
      <c r="G71" s="161">
        <f t="shared" si="4"/>
        <v>0.78608124574855776</v>
      </c>
      <c r="I71" s="160">
        <f t="shared" si="5"/>
        <v>1.5554880819353705</v>
      </c>
      <c r="J71" s="157">
        <f t="shared" si="5"/>
        <v>1.634027572804881</v>
      </c>
      <c r="K71" s="157">
        <f t="shared" si="5"/>
        <v>1.5006386340008853</v>
      </c>
      <c r="L71" s="157">
        <f t="shared" si="5"/>
        <v>1.4445087929243647</v>
      </c>
      <c r="M71" s="157">
        <f t="shared" si="5"/>
        <v>1.536711168986163</v>
      </c>
      <c r="N71" s="161">
        <f t="shared" si="5"/>
        <v>0.89761726891255689</v>
      </c>
    </row>
    <row r="72" spans="1:28" ht="18" customHeight="1" x14ac:dyDescent="0.35">
      <c r="A72" s="135" t="s">
        <v>13</v>
      </c>
      <c r="B72" s="157">
        <f t="shared" si="4"/>
        <v>1</v>
      </c>
      <c r="C72" s="157">
        <f t="shared" si="4"/>
        <v>1</v>
      </c>
      <c r="D72" s="157">
        <f t="shared" si="4"/>
        <v>1</v>
      </c>
      <c r="E72" s="157">
        <f t="shared" si="4"/>
        <v>1</v>
      </c>
      <c r="F72" s="157">
        <f t="shared" si="4"/>
        <v>1</v>
      </c>
      <c r="G72" s="161">
        <f t="shared" si="4"/>
        <v>1</v>
      </c>
      <c r="I72" s="160">
        <f t="shared" si="5"/>
        <v>1</v>
      </c>
      <c r="J72" s="157">
        <f t="shared" si="5"/>
        <v>1</v>
      </c>
      <c r="K72" s="157">
        <f t="shared" si="5"/>
        <v>1</v>
      </c>
      <c r="L72" s="157">
        <f t="shared" si="5"/>
        <v>1</v>
      </c>
      <c r="M72" s="157">
        <f t="shared" si="5"/>
        <v>1</v>
      </c>
      <c r="N72" s="161">
        <f t="shared" si="5"/>
        <v>1</v>
      </c>
    </row>
    <row r="73" spans="1:28" ht="18" customHeight="1" thickBot="1" x14ac:dyDescent="0.4">
      <c r="A73" s="213" t="s">
        <v>14</v>
      </c>
      <c r="B73" s="226"/>
      <c r="C73" s="226"/>
      <c r="D73" s="226"/>
      <c r="E73" s="226"/>
      <c r="F73" s="226"/>
      <c r="G73" s="227"/>
      <c r="I73" s="228"/>
      <c r="J73" s="226"/>
      <c r="K73" s="226"/>
      <c r="L73" s="226"/>
      <c r="M73" s="226"/>
      <c r="N73" s="227"/>
    </row>
    <row r="75" spans="1:28" s="5" customFormat="1" ht="16.5" customHeight="1" x14ac:dyDescent="0.35">
      <c r="A75" s="5" t="s">
        <v>121</v>
      </c>
    </row>
    <row r="76" spans="1:28" ht="13.15" thickBot="1" x14ac:dyDescent="0.4"/>
    <row r="77" spans="1:28" ht="18" customHeight="1" x14ac:dyDescent="0.35">
      <c r="A77" s="614" t="s">
        <v>97</v>
      </c>
      <c r="B77" s="515" t="s">
        <v>122</v>
      </c>
      <c r="C77" s="515"/>
      <c r="D77" s="515"/>
      <c r="E77" s="515"/>
      <c r="F77" s="515"/>
      <c r="G77" s="516"/>
      <c r="I77" s="561" t="s">
        <v>123</v>
      </c>
      <c r="J77" s="515"/>
      <c r="K77" s="515"/>
      <c r="L77" s="515"/>
      <c r="M77" s="515"/>
      <c r="N77" s="516"/>
    </row>
    <row r="78" spans="1:28" ht="18" customHeight="1" x14ac:dyDescent="0.35">
      <c r="A78" s="615"/>
      <c r="B78" s="517" t="s">
        <v>15</v>
      </c>
      <c r="C78" s="517" t="s">
        <v>16</v>
      </c>
      <c r="D78" s="517" t="s">
        <v>17</v>
      </c>
      <c r="E78" s="517" t="s">
        <v>18</v>
      </c>
      <c r="F78" s="517" t="s">
        <v>19</v>
      </c>
      <c r="G78" s="518" t="s">
        <v>20</v>
      </c>
      <c r="I78" s="562" t="s">
        <v>15</v>
      </c>
      <c r="J78" s="517" t="s">
        <v>16</v>
      </c>
      <c r="K78" s="517" t="s">
        <v>17</v>
      </c>
      <c r="L78" s="517" t="s">
        <v>18</v>
      </c>
      <c r="M78" s="517" t="s">
        <v>19</v>
      </c>
      <c r="N78" s="518" t="s">
        <v>20</v>
      </c>
    </row>
    <row r="79" spans="1:28" ht="18" customHeight="1" x14ac:dyDescent="0.35">
      <c r="A79" s="185" t="s">
        <v>98</v>
      </c>
      <c r="B79" s="186">
        <f>SUM(B80:F80)</f>
        <v>22.772998558217964</v>
      </c>
      <c r="C79" s="186">
        <f>G80</f>
        <v>1.3047868110830922</v>
      </c>
      <c r="D79" s="186"/>
      <c r="E79" s="186"/>
      <c r="F79" s="186"/>
      <c r="G79" s="187"/>
      <c r="I79" s="197">
        <f t="shared" ref="I79:L79" si="6">I29</f>
        <v>1.4361013217699203E-2</v>
      </c>
      <c r="J79" s="195">
        <f t="shared" si="6"/>
        <v>1.1582118156390805E-2</v>
      </c>
      <c r="K79" s="195">
        <f t="shared" si="6"/>
        <v>4.5906412852220252E-3</v>
      </c>
      <c r="L79" s="194">
        <f t="shared" si="6"/>
        <v>3.5168976204790845E-3</v>
      </c>
      <c r="M79" s="194">
        <f>M80</f>
        <v>3.1904119379674276E-4</v>
      </c>
      <c r="N79" s="196">
        <f>M79</f>
        <v>3.1904119379674276E-4</v>
      </c>
      <c r="P79" s="255"/>
      <c r="Q79" s="255"/>
      <c r="R79" s="255"/>
      <c r="S79" s="255"/>
      <c r="T79" s="255"/>
      <c r="U79" s="255"/>
      <c r="W79" s="255">
        <v>7.49831546656754E-3</v>
      </c>
      <c r="X79" s="255">
        <v>7.498315466567318E-3</v>
      </c>
      <c r="Y79" s="255">
        <v>7.49831546656754E-3</v>
      </c>
      <c r="Z79" s="255">
        <v>7.498315466567318E-3</v>
      </c>
      <c r="AA79" s="255">
        <v>7.498315466567318E-3</v>
      </c>
      <c r="AB79" s="255">
        <v>7.498315466567318E-3</v>
      </c>
    </row>
    <row r="80" spans="1:28" ht="18" customHeight="1" x14ac:dyDescent="0.35">
      <c r="A80" s="188" t="s">
        <v>99</v>
      </c>
      <c r="B80" s="454">
        <f>B29</f>
        <v>8.7657925981670974</v>
      </c>
      <c r="C80" s="454">
        <f>C29</f>
        <v>8.5383435823330522</v>
      </c>
      <c r="D80" s="454">
        <f t="shared" ref="D80:E83" si="7">D29</f>
        <v>2.189137505776809</v>
      </c>
      <c r="E80" s="454">
        <f t="shared" si="7"/>
        <v>1.9749380608579121</v>
      </c>
      <c r="F80" s="189">
        <f>SUM(F13:G13)/SUM(F21:G21)</f>
        <v>1.3047868110830922</v>
      </c>
      <c r="G80" s="453">
        <f>F80</f>
        <v>1.3047868110830922</v>
      </c>
      <c r="I80" s="197">
        <f t="shared" ref="I80:L83" si="8">I29</f>
        <v>1.4361013217699203E-2</v>
      </c>
      <c r="J80" s="195">
        <f t="shared" si="8"/>
        <v>1.1582118156390805E-2</v>
      </c>
      <c r="K80" s="195">
        <f t="shared" si="8"/>
        <v>4.5906412852220252E-3</v>
      </c>
      <c r="L80" s="195">
        <f t="shared" si="8"/>
        <v>3.5168976204790845E-3</v>
      </c>
      <c r="M80" s="195">
        <f>SUM(M13:N13)/SUM(M21:N21)</f>
        <v>3.1904119379674276E-4</v>
      </c>
      <c r="N80" s="198">
        <f>M80</f>
        <v>3.1904119379674276E-4</v>
      </c>
      <c r="P80" s="255"/>
      <c r="Q80" s="255"/>
      <c r="R80" s="255"/>
      <c r="S80" s="255"/>
      <c r="T80" s="255"/>
      <c r="U80" s="255"/>
      <c r="W80" s="255">
        <v>7.49831546656754E-3</v>
      </c>
      <c r="X80" s="255">
        <v>7.498315466567318E-3</v>
      </c>
      <c r="Y80" s="255">
        <v>7.49831546656754E-3</v>
      </c>
      <c r="Z80" s="255">
        <v>7.498315466567318E-3</v>
      </c>
      <c r="AA80" s="255">
        <v>7.498315466567318E-3</v>
      </c>
      <c r="AB80" s="255">
        <v>7.498315466567318E-3</v>
      </c>
    </row>
    <row r="81" spans="1:28" ht="18" customHeight="1" x14ac:dyDescent="0.35">
      <c r="A81" s="188" t="s">
        <v>100</v>
      </c>
      <c r="B81" s="454">
        <f>B30</f>
        <v>13.965893014175013</v>
      </c>
      <c r="C81" s="454">
        <f>C30</f>
        <v>13.019568270657446</v>
      </c>
      <c r="D81" s="454">
        <f t="shared" si="7"/>
        <v>6.3740121072345159</v>
      </c>
      <c r="E81" s="454">
        <f t="shared" si="7"/>
        <v>5.3876553111172543</v>
      </c>
      <c r="F81" s="189">
        <f>SUM(F14:G14)/SUM(F22:G22)</f>
        <v>0.38195705501975247</v>
      </c>
      <c r="G81" s="190">
        <f t="shared" ref="G81:G82" si="9">F81</f>
        <v>0.38195705501975247</v>
      </c>
      <c r="I81" s="197">
        <f t="shared" si="8"/>
        <v>1.3306275652874136E-2</v>
      </c>
      <c r="J81" s="195">
        <f t="shared" si="8"/>
        <v>1.0599440367385839E-2</v>
      </c>
      <c r="K81" s="195">
        <f t="shared" si="8"/>
        <v>4.2910296003783729E-3</v>
      </c>
      <c r="L81" s="195">
        <f t="shared" si="8"/>
        <v>3.3261474485216007E-3</v>
      </c>
      <c r="M81" s="195">
        <f t="shared" ref="M81:M83" si="10">SUM(M14:N14)/SUM(M22:N22)</f>
        <v>2.8038696139502802E-4</v>
      </c>
      <c r="N81" s="198">
        <f t="shared" ref="N81:N83" si="11">M81</f>
        <v>2.8038696139502802E-4</v>
      </c>
      <c r="P81" s="255"/>
      <c r="Q81" s="255"/>
      <c r="R81" s="255"/>
      <c r="S81" s="255"/>
      <c r="T81" s="255"/>
      <c r="U81" s="255"/>
      <c r="W81" s="255">
        <v>7.49831546656754E-3</v>
      </c>
      <c r="X81" s="255">
        <v>7.498315466567318E-3</v>
      </c>
      <c r="Y81" s="255">
        <v>7.49831546656754E-3</v>
      </c>
      <c r="Z81" s="255">
        <v>7.498315466567318E-3</v>
      </c>
      <c r="AA81" s="255">
        <v>7.498315466567318E-3</v>
      </c>
      <c r="AB81" s="255">
        <v>7.498315466567318E-3</v>
      </c>
    </row>
    <row r="82" spans="1:28" ht="18" customHeight="1" x14ac:dyDescent="0.35">
      <c r="A82" s="188" t="s">
        <v>101</v>
      </c>
      <c r="B82" s="454">
        <f>SUM(B15:C15)/SUM(B23:C23)</f>
        <v>8.1463665784625618</v>
      </c>
      <c r="C82" s="454">
        <f>B82</f>
        <v>8.1463665784625618</v>
      </c>
      <c r="D82" s="454">
        <f t="shared" si="7"/>
        <v>3.0747695974364064</v>
      </c>
      <c r="E82" s="454">
        <f t="shared" si="7"/>
        <v>2.4518121756366598</v>
      </c>
      <c r="F82" s="189">
        <f>SUM(F15:G15)/SUM(F23:G23)</f>
        <v>0.21773861817611762</v>
      </c>
      <c r="G82" s="190">
        <f t="shared" si="9"/>
        <v>0.21773861817611762</v>
      </c>
      <c r="I82" s="197">
        <f t="shared" si="8"/>
        <v>6.4672531309668746E-3</v>
      </c>
      <c r="J82" s="195">
        <f t="shared" si="8"/>
        <v>5.3370425598060446E-3</v>
      </c>
      <c r="K82" s="195">
        <f t="shared" si="8"/>
        <v>1.9289441017918652E-3</v>
      </c>
      <c r="L82" s="195">
        <f t="shared" si="8"/>
        <v>1.3889578703609946E-3</v>
      </c>
      <c r="M82" s="195">
        <f t="shared" si="10"/>
        <v>1.0127271342135558E-4</v>
      </c>
      <c r="N82" s="198">
        <f t="shared" si="11"/>
        <v>1.0127271342135558E-4</v>
      </c>
      <c r="P82" s="255"/>
      <c r="Q82" s="255"/>
      <c r="R82" s="255"/>
      <c r="S82" s="255"/>
      <c r="T82" s="255"/>
      <c r="U82" s="255"/>
      <c r="W82" s="255">
        <v>7.4983154665670959E-3</v>
      </c>
      <c r="X82" s="255">
        <v>7.498315466567318E-3</v>
      </c>
      <c r="Y82" s="255">
        <v>7.49831546656754E-3</v>
      </c>
      <c r="Z82" s="255">
        <v>7.498315466567318E-3</v>
      </c>
      <c r="AA82" s="255">
        <v>7.498315466567762E-3</v>
      </c>
      <c r="AB82" s="255">
        <v>7.498315466567762E-3</v>
      </c>
    </row>
    <row r="83" spans="1:28" ht="18" customHeight="1" x14ac:dyDescent="0.35">
      <c r="A83" s="188" t="s">
        <v>102</v>
      </c>
      <c r="B83" s="454">
        <f>B32</f>
        <v>4.4750791139289428</v>
      </c>
      <c r="C83" s="454">
        <f>C32</f>
        <v>4.2216472877494224</v>
      </c>
      <c r="D83" s="454">
        <f t="shared" si="7"/>
        <v>2.0569690641419518</v>
      </c>
      <c r="E83" s="454">
        <f t="shared" si="7"/>
        <v>1.7032594650212352</v>
      </c>
      <c r="F83" s="189">
        <f>SUM(F16:G16)/SUM(F24:G24)</f>
        <v>0.26946409190008075</v>
      </c>
      <c r="G83" s="190">
        <f t="shared" ref="G83" si="12">F83</f>
        <v>0.26946409190008075</v>
      </c>
      <c r="I83" s="197">
        <f t="shared" si="8"/>
        <v>4.1577002138905392E-3</v>
      </c>
      <c r="J83" s="195">
        <f t="shared" si="8"/>
        <v>3.2661888016031295E-3</v>
      </c>
      <c r="K83" s="195">
        <f t="shared" si="8"/>
        <v>1.2854154611820605E-3</v>
      </c>
      <c r="L83" s="195">
        <f t="shared" si="8"/>
        <v>9.6154338219644271E-4</v>
      </c>
      <c r="M83" s="195">
        <f t="shared" si="10"/>
        <v>1.1315686256228839E-4</v>
      </c>
      <c r="N83" s="198">
        <f t="shared" si="11"/>
        <v>1.1315686256228839E-4</v>
      </c>
      <c r="P83" s="255"/>
      <c r="Q83" s="255"/>
      <c r="R83" s="255"/>
      <c r="S83" s="255"/>
      <c r="T83" s="255"/>
      <c r="U83" s="255"/>
      <c r="W83" s="255">
        <v>7.49831546656754E-3</v>
      </c>
      <c r="X83" s="255">
        <v>7.498315466567318E-3</v>
      </c>
      <c r="Y83" s="255">
        <v>7.49831546656754E-3</v>
      </c>
      <c r="Z83" s="255">
        <v>7.498315466567318E-3</v>
      </c>
      <c r="AA83" s="255">
        <v>7.49831546656754E-3</v>
      </c>
      <c r="AB83" s="255">
        <v>7.49831546656754E-3</v>
      </c>
    </row>
    <row r="84" spans="1:28" ht="18" customHeight="1" thickBot="1" x14ac:dyDescent="0.4">
      <c r="A84" s="220" t="s">
        <v>103</v>
      </c>
      <c r="B84" s="221"/>
      <c r="C84" s="221"/>
      <c r="D84" s="221"/>
      <c r="E84" s="221"/>
      <c r="F84" s="221"/>
      <c r="G84" s="222"/>
      <c r="I84" s="223"/>
      <c r="J84" s="224"/>
      <c r="K84" s="224"/>
      <c r="L84" s="224"/>
      <c r="M84" s="224"/>
      <c r="N84" s="225"/>
    </row>
    <row r="86" spans="1:28" s="5" customFormat="1" ht="16.5" customHeight="1" x14ac:dyDescent="0.35">
      <c r="A86" s="5" t="s">
        <v>128</v>
      </c>
    </row>
    <row r="87" spans="1:28" ht="5.2" customHeight="1" thickBot="1" x14ac:dyDescent="0.4"/>
    <row r="88" spans="1:28" ht="22.5" customHeight="1" x14ac:dyDescent="0.35">
      <c r="A88" s="618" t="s">
        <v>97</v>
      </c>
      <c r="B88" s="515" t="s">
        <v>125</v>
      </c>
      <c r="C88" s="515"/>
      <c r="D88" s="515"/>
      <c r="E88" s="616" t="s">
        <v>124</v>
      </c>
    </row>
    <row r="89" spans="1:28" ht="25.5" x14ac:dyDescent="0.35">
      <c r="A89" s="619"/>
      <c r="B89" s="563" t="s">
        <v>95</v>
      </c>
      <c r="C89" s="563" t="s">
        <v>96</v>
      </c>
      <c r="D89" s="563" t="s">
        <v>4</v>
      </c>
      <c r="E89" s="617"/>
    </row>
    <row r="90" spans="1:28" ht="18" customHeight="1" x14ac:dyDescent="0.35">
      <c r="A90" s="185" t="s">
        <v>98</v>
      </c>
      <c r="B90" s="202">
        <f>'I. Datos de entrada'!C122*B79+'I. Datos de entrada'!H122*C79</f>
        <v>3000884.4740509093</v>
      </c>
      <c r="C90" s="204">
        <f>SUMPRODUCT(I79:N79,'I. Datos de entrada'!C108:H108)*1000</f>
        <v>310028.51489420515</v>
      </c>
      <c r="D90" s="205">
        <f>SUM(B90:C90)</f>
        <v>3310912.9889451144</v>
      </c>
      <c r="E90" s="207">
        <f t="shared" ref="E90:E94" si="13">B90/D90</f>
        <v>0.90636162414132693</v>
      </c>
    </row>
    <row r="91" spans="1:28" ht="18" customHeight="1" x14ac:dyDescent="0.35">
      <c r="A91" s="188" t="s">
        <v>99</v>
      </c>
      <c r="B91" s="204">
        <f>SUMPRODUCT(B80:G80,'I. Datos de entrada'!C123:H123)</f>
        <v>481257.04000179161</v>
      </c>
      <c r="C91" s="204">
        <f>SUMPRODUCT(I80:N80,'I. Datos de entrada'!C109:H109)*1000</f>
        <v>158535.99595110261</v>
      </c>
      <c r="D91" s="205">
        <f t="shared" ref="D91:D94" si="14">SUM(B91:C91)</f>
        <v>639793.03595289425</v>
      </c>
      <c r="E91" s="207">
        <f t="shared" si="13"/>
        <v>0.75220737481929223</v>
      </c>
      <c r="F91" s="248"/>
      <c r="G91" s="201"/>
    </row>
    <row r="92" spans="1:28" ht="18" customHeight="1" x14ac:dyDescent="0.35">
      <c r="A92" s="188" t="s">
        <v>100</v>
      </c>
      <c r="B92" s="204">
        <f>SUMPRODUCT(B81:G81,'I. Datos de entrada'!C124:H124)</f>
        <v>677067.38760894933</v>
      </c>
      <c r="C92" s="204">
        <f>SUMPRODUCT(I81:N81,'I. Datos de entrada'!C110:H110)*1000</f>
        <v>263101.4126799599</v>
      </c>
      <c r="D92" s="205">
        <f t="shared" si="14"/>
        <v>940168.80028890923</v>
      </c>
      <c r="E92" s="207">
        <f t="shared" si="13"/>
        <v>0.72015513320681335</v>
      </c>
      <c r="F92" s="201"/>
      <c r="G92" s="201"/>
      <c r="I92" s="201"/>
    </row>
    <row r="93" spans="1:28" ht="18" customHeight="1" x14ac:dyDescent="0.35">
      <c r="A93" s="188" t="s">
        <v>101</v>
      </c>
      <c r="B93" s="204">
        <f>SUMPRODUCT(B82:G82,'I. Datos de entrada'!C125:H125)</f>
        <v>91233.725518666339</v>
      </c>
      <c r="C93" s="204">
        <f>SUMPRODUCT(I82:N82,'I. Datos de entrada'!C111:H111)*1000</f>
        <v>36856.024596193463</v>
      </c>
      <c r="D93" s="205">
        <f t="shared" si="14"/>
        <v>128089.75011485981</v>
      </c>
      <c r="E93" s="207">
        <f t="shared" si="13"/>
        <v>0.71226406044867618</v>
      </c>
      <c r="F93" s="201"/>
      <c r="G93" s="201"/>
      <c r="I93" s="201"/>
    </row>
    <row r="94" spans="1:28" ht="18" customHeight="1" x14ac:dyDescent="0.35">
      <c r="A94" s="188" t="s">
        <v>102</v>
      </c>
      <c r="B94" s="204">
        <f>SUMPRODUCT(B83:G83,'I. Datos de entrada'!C126:H126)</f>
        <v>24116.333270293981</v>
      </c>
      <c r="C94" s="204">
        <f>SUMPRODUCT(I83:N83,'I. Datos de entrada'!C112:H112)*1000</f>
        <v>10784.024568872552</v>
      </c>
      <c r="D94" s="205">
        <f t="shared" si="14"/>
        <v>34900.357839166536</v>
      </c>
      <c r="E94" s="207">
        <f t="shared" si="13"/>
        <v>0.6910053295565266</v>
      </c>
      <c r="F94" s="201"/>
      <c r="G94" s="201"/>
      <c r="I94" s="201"/>
    </row>
    <row r="95" spans="1:28" ht="18" customHeight="1" thickBot="1" x14ac:dyDescent="0.4">
      <c r="A95" s="191" t="s">
        <v>103</v>
      </c>
      <c r="B95" s="229"/>
      <c r="C95" s="229"/>
      <c r="D95" s="230"/>
      <c r="E95" s="231"/>
      <c r="F95" s="201"/>
      <c r="G95" s="201"/>
    </row>
    <row r="96" spans="1:28" ht="7.5" customHeight="1" thickBot="1" x14ac:dyDescent="0.4"/>
    <row r="97" spans="1:5" ht="16.5" customHeight="1" thickBot="1" x14ac:dyDescent="0.4">
      <c r="A97" s="342" t="s">
        <v>1</v>
      </c>
      <c r="B97" s="336">
        <f>SUM(B90:B95)</f>
        <v>4274558.9604506101</v>
      </c>
      <c r="C97" s="336">
        <f>SUM(C90:C95)</f>
        <v>779305.97269033361</v>
      </c>
      <c r="D97" s="337">
        <f>SUM(B97:C97)</f>
        <v>5053864.9331409438</v>
      </c>
      <c r="E97" s="343">
        <f>B97/D97</f>
        <v>0.8458</v>
      </c>
    </row>
    <row r="98" spans="1:5" x14ac:dyDescent="0.35">
      <c r="B98" s="201"/>
      <c r="C98" s="201"/>
      <c r="D98" s="201"/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workbookViewId="0">
      <selection activeCell="A74" sqref="A74:E75"/>
    </sheetView>
  </sheetViews>
  <sheetFormatPr baseColWidth="10" defaultColWidth="11.46484375" defaultRowHeight="12.75" x14ac:dyDescent="0.35"/>
  <cols>
    <col min="1" max="1" width="13.265625" style="269" customWidth="1"/>
    <col min="2" max="2" width="16.46484375" style="269" bestFit="1" customWidth="1"/>
    <col min="3" max="3" width="14.73046875" style="269" bestFit="1" customWidth="1"/>
    <col min="4" max="4" width="16.53125" style="269" bestFit="1" customWidth="1"/>
    <col min="5" max="5" width="13.73046875" style="269" bestFit="1" customWidth="1"/>
    <col min="6" max="6" width="13.265625" style="269" bestFit="1" customWidth="1"/>
    <col min="7" max="7" width="13" style="269" bestFit="1" customWidth="1"/>
    <col min="8" max="8" width="2.46484375" style="269" customWidth="1"/>
    <col min="9" max="9" width="22.73046875" style="269" bestFit="1" customWidth="1"/>
    <col min="10" max="10" width="16.53125" style="269" customWidth="1"/>
    <col min="11" max="16384" width="11.46484375" style="269"/>
  </cols>
  <sheetData>
    <row r="1" spans="1:15" s="1" customFormat="1" x14ac:dyDescent="0.35"/>
    <row r="2" spans="1:15" s="1" customFormat="1" x14ac:dyDescent="0.35"/>
    <row r="3" spans="1:15" s="1" customFormat="1" x14ac:dyDescent="0.35"/>
    <row r="4" spans="1:15" s="1" customFormat="1" x14ac:dyDescent="0.35"/>
    <row r="5" spans="1:15" s="1" customFormat="1" x14ac:dyDescent="0.35"/>
    <row r="6" spans="1:15" s="325" customFormat="1" ht="29.25" customHeight="1" x14ac:dyDescent="0.35">
      <c r="A6" s="325" t="s">
        <v>202</v>
      </c>
    </row>
    <row r="7" spans="1:15" s="5" customFormat="1" ht="16.5" customHeight="1" x14ac:dyDescent="0.35">
      <c r="A7" s="5" t="s">
        <v>203</v>
      </c>
    </row>
    <row r="8" spans="1:15" ht="5.2" customHeight="1" thickBot="1" x14ac:dyDescent="0.4"/>
    <row r="9" spans="1:15" s="270" customFormat="1" ht="25.05" customHeight="1" x14ac:dyDescent="0.35">
      <c r="A9" s="620" t="s">
        <v>142</v>
      </c>
      <c r="B9" s="566" t="s">
        <v>143</v>
      </c>
      <c r="C9" s="566"/>
      <c r="D9" s="566"/>
      <c r="E9" s="566"/>
      <c r="F9" s="566"/>
      <c r="G9" s="567"/>
    </row>
    <row r="10" spans="1:15" s="270" customFormat="1" ht="25.05" customHeight="1" x14ac:dyDescent="0.35">
      <c r="A10" s="621"/>
      <c r="B10" s="568" t="s">
        <v>15</v>
      </c>
      <c r="C10" s="568" t="s">
        <v>16</v>
      </c>
      <c r="D10" s="568" t="s">
        <v>17</v>
      </c>
      <c r="E10" s="568" t="s">
        <v>18</v>
      </c>
      <c r="F10" s="568" t="s">
        <v>19</v>
      </c>
      <c r="G10" s="569" t="s">
        <v>20</v>
      </c>
    </row>
    <row r="11" spans="1:15" ht="30" customHeight="1" thickBot="1" x14ac:dyDescent="0.4">
      <c r="A11" s="271" t="s">
        <v>98</v>
      </c>
      <c r="B11" s="272">
        <f>'I. Datos de entrada'!C108*1000</f>
        <v>8058820.7642441839</v>
      </c>
      <c r="C11" s="272">
        <f>'I. Datos de entrada'!D108*1000</f>
        <v>9915026.2081579864</v>
      </c>
      <c r="D11" s="272">
        <f>'I. Datos de entrada'!E108*1000</f>
        <v>7870382.7037400138</v>
      </c>
      <c r="E11" s="272">
        <f>'I. Datos de entrada'!F108*1000</f>
        <v>8882059.1127923466</v>
      </c>
      <c r="F11" s="272">
        <f>'I. Datos de entrada'!G108*1000</f>
        <v>3651312.5083994442</v>
      </c>
      <c r="G11" s="273">
        <f>'I. Datos de entrada'!H108*1000</f>
        <v>34247498.740129448</v>
      </c>
      <c r="H11" s="274"/>
      <c r="I11" s="275"/>
      <c r="J11" s="274"/>
      <c r="K11" s="274"/>
      <c r="L11" s="274"/>
      <c r="M11" s="274"/>
      <c r="N11" s="274"/>
      <c r="O11" s="270"/>
    </row>
    <row r="12" spans="1:15" ht="13.15" thickBot="1" x14ac:dyDescent="0.4"/>
    <row r="13" spans="1:15" s="270" customFormat="1" ht="25.05" customHeight="1" x14ac:dyDescent="0.35">
      <c r="A13" s="620" t="s">
        <v>53</v>
      </c>
      <c r="B13" s="566" t="s">
        <v>148</v>
      </c>
      <c r="C13" s="566"/>
      <c r="D13" s="566"/>
      <c r="E13" s="566"/>
      <c r="F13" s="566"/>
      <c r="G13" s="567"/>
    </row>
    <row r="14" spans="1:15" s="270" customFormat="1" ht="25.05" customHeight="1" x14ac:dyDescent="0.35">
      <c r="A14" s="621"/>
      <c r="B14" s="568" t="s">
        <v>15</v>
      </c>
      <c r="C14" s="568" t="s">
        <v>16</v>
      </c>
      <c r="D14" s="568" t="s">
        <v>17</v>
      </c>
      <c r="E14" s="568" t="s">
        <v>18</v>
      </c>
      <c r="F14" s="568" t="s">
        <v>19</v>
      </c>
      <c r="G14" s="569" t="s">
        <v>20</v>
      </c>
    </row>
    <row r="15" spans="1:15" s="270" customFormat="1" ht="25.05" customHeight="1" x14ac:dyDescent="0.35">
      <c r="A15" s="287" t="s">
        <v>2</v>
      </c>
      <c r="B15" s="288">
        <f>'Va. Peajes transporte'!I79</f>
        <v>5.1048376380386567E-3</v>
      </c>
      <c r="C15" s="288">
        <f>'Va. Peajes transporte'!J79</f>
        <v>4.1029764205601999E-3</v>
      </c>
      <c r="D15" s="288">
        <f>'Va. Peajes transporte'!K79</f>
        <v>1.7914677450709005E-3</v>
      </c>
      <c r="E15" s="288">
        <f>'Va. Peajes transporte'!L79</f>
        <v>1.1282047762726597E-3</v>
      </c>
      <c r="F15" s="288">
        <f>'Va. Peajes transporte'!M79</f>
        <v>9.3347605338733999E-5</v>
      </c>
      <c r="G15" s="289">
        <f>'Va. Peajes transporte'!N79</f>
        <v>9.3347605338733999E-5</v>
      </c>
    </row>
    <row r="16" spans="1:15" ht="30" customHeight="1" thickBot="1" x14ac:dyDescent="0.4">
      <c r="A16" s="271" t="s">
        <v>146</v>
      </c>
      <c r="B16" s="290">
        <f>'Vb. Peajes distribución'!I79</f>
        <v>1.4361013217699203E-2</v>
      </c>
      <c r="C16" s="290">
        <f>'Vb. Peajes distribución'!J79</f>
        <v>1.1582118156390805E-2</v>
      </c>
      <c r="D16" s="290">
        <f>'Vb. Peajes distribución'!K79</f>
        <v>4.5906412852220252E-3</v>
      </c>
      <c r="E16" s="290">
        <f>'Vb. Peajes distribución'!L79</f>
        <v>3.5168976204790845E-3</v>
      </c>
      <c r="F16" s="290">
        <f>'Vb. Peajes distribución'!M79</f>
        <v>3.1904119379674276E-4</v>
      </c>
      <c r="G16" s="291">
        <f>'Vb. Peajes distribución'!N79</f>
        <v>3.1904119379674276E-4</v>
      </c>
      <c r="H16" s="274"/>
      <c r="I16" s="275"/>
      <c r="J16" s="274"/>
      <c r="K16" s="274"/>
      <c r="L16" s="274"/>
      <c r="M16" s="274"/>
      <c r="N16" s="274"/>
      <c r="O16" s="270"/>
    </row>
    <row r="17" spans="1:15" ht="13.15" thickBot="1" x14ac:dyDescent="0.4"/>
    <row r="18" spans="1:15" s="270" customFormat="1" ht="25.05" customHeight="1" x14ac:dyDescent="0.35">
      <c r="A18" s="620" t="s">
        <v>142</v>
      </c>
      <c r="B18" s="566" t="s">
        <v>144</v>
      </c>
      <c r="C18" s="566"/>
      <c r="D18" s="566"/>
      <c r="E18" s="566"/>
      <c r="F18" s="566"/>
      <c r="G18" s="567"/>
      <c r="I18" s="622" t="s">
        <v>149</v>
      </c>
    </row>
    <row r="19" spans="1:15" s="270" customFormat="1" ht="25.05" customHeight="1" x14ac:dyDescent="0.35">
      <c r="A19" s="621"/>
      <c r="B19" s="568" t="s">
        <v>15</v>
      </c>
      <c r="C19" s="568" t="s">
        <v>16</v>
      </c>
      <c r="D19" s="568" t="s">
        <v>17</v>
      </c>
      <c r="E19" s="568" t="s">
        <v>18</v>
      </c>
      <c r="F19" s="568" t="s">
        <v>19</v>
      </c>
      <c r="G19" s="569" t="s">
        <v>20</v>
      </c>
      <c r="I19" s="623"/>
    </row>
    <row r="20" spans="1:15" s="270" customFormat="1" ht="25.05" customHeight="1" x14ac:dyDescent="0.35">
      <c r="A20" s="287" t="s">
        <v>2</v>
      </c>
      <c r="B20" s="296">
        <f>B11*B15</f>
        <v>41138.971555521159</v>
      </c>
      <c r="C20" s="296">
        <f t="shared" ref="C20:G20" si="0">C11*C15</f>
        <v>40681.118741308623</v>
      </c>
      <c r="D20" s="296">
        <f t="shared" si="0"/>
        <v>14099.536755114139</v>
      </c>
      <c r="E20" s="296">
        <f t="shared" si="0"/>
        <v>10020.781514188428</v>
      </c>
      <c r="F20" s="296">
        <f t="shared" si="0"/>
        <v>340.8412790024542</v>
      </c>
      <c r="G20" s="297">
        <f t="shared" si="0"/>
        <v>3196.9219962323937</v>
      </c>
      <c r="I20" s="317">
        <f>SUM(B20:H20)</f>
        <v>109478.17184136722</v>
      </c>
    </row>
    <row r="21" spans="1:15" ht="30" customHeight="1" thickBot="1" x14ac:dyDescent="0.4">
      <c r="A21" s="271" t="s">
        <v>146</v>
      </c>
      <c r="B21" s="292">
        <f>B11*B$16</f>
        <v>115732.83151437952</v>
      </c>
      <c r="C21" s="292">
        <f t="shared" ref="C21:G21" si="1">C11*C$16</f>
        <v>114837.0050665973</v>
      </c>
      <c r="D21" s="292">
        <f t="shared" si="1"/>
        <v>36130.103770286252</v>
      </c>
      <c r="E21" s="292">
        <f t="shared" si="1"/>
        <v>31237.292558733974</v>
      </c>
      <c r="F21" s="292">
        <f t="shared" si="1"/>
        <v>1164.919101604738</v>
      </c>
      <c r="G21" s="293">
        <f t="shared" si="1"/>
        <v>10926.362882603342</v>
      </c>
      <c r="H21" s="274"/>
      <c r="I21" s="318">
        <f>SUM(B21:H21)</f>
        <v>310028.51489420509</v>
      </c>
      <c r="J21" s="275"/>
      <c r="K21" s="274"/>
      <c r="L21" s="274"/>
      <c r="M21" s="274"/>
      <c r="N21" s="274"/>
      <c r="O21" s="270"/>
    </row>
    <row r="22" spans="1:15" ht="13.15" thickBot="1" x14ac:dyDescent="0.4"/>
    <row r="23" spans="1:15" ht="25.05" customHeight="1" x14ac:dyDescent="0.35">
      <c r="A23" s="620" t="s">
        <v>140</v>
      </c>
      <c r="B23" s="566" t="s">
        <v>211</v>
      </c>
      <c r="C23" s="566"/>
      <c r="D23" s="566"/>
      <c r="E23" s="566"/>
      <c r="F23" s="566"/>
      <c r="G23" s="567"/>
    </row>
    <row r="24" spans="1:15" ht="25.05" customHeight="1" x14ac:dyDescent="0.35">
      <c r="A24" s="621"/>
      <c r="B24" s="568" t="s">
        <v>15</v>
      </c>
      <c r="C24" s="568" t="s">
        <v>16</v>
      </c>
      <c r="D24" s="568" t="s">
        <v>17</v>
      </c>
      <c r="E24" s="568" t="s">
        <v>18</v>
      </c>
      <c r="F24" s="568" t="s">
        <v>19</v>
      </c>
      <c r="G24" s="569" t="s">
        <v>20</v>
      </c>
    </row>
    <row r="25" spans="1:15" s="270" customFormat="1" ht="25.05" customHeight="1" x14ac:dyDescent="0.35">
      <c r="A25" s="294" t="s">
        <v>15</v>
      </c>
      <c r="B25" s="276">
        <f>'I. Datos de entrada'!C145</f>
        <v>0.90546500485979953</v>
      </c>
      <c r="C25" s="276">
        <f>'I. Datos de entrada'!D145</f>
        <v>0.3641634662237816</v>
      </c>
      <c r="D25" s="276">
        <f>'I. Datos de entrada'!E145</f>
        <v>0.57513938180094992</v>
      </c>
      <c r="E25" s="276">
        <f>'I. Datos de entrada'!F145</f>
        <v>0.50094179296526875</v>
      </c>
      <c r="F25" s="276">
        <f>'I. Datos de entrada'!G145</f>
        <v>0</v>
      </c>
      <c r="G25" s="277">
        <f>'I. Datos de entrada'!H145</f>
        <v>0</v>
      </c>
    </row>
    <row r="26" spans="1:15" s="270" customFormat="1" ht="25.05" customHeight="1" x14ac:dyDescent="0.35">
      <c r="A26" s="294" t="s">
        <v>16</v>
      </c>
      <c r="B26" s="278">
        <f>'I. Datos de entrada'!C146</f>
        <v>9.4534995140200487E-2</v>
      </c>
      <c r="C26" s="278">
        <f>'I. Datos de entrada'!D146</f>
        <v>0.63583653377621829</v>
      </c>
      <c r="D26" s="278">
        <f>'I. Datos de entrada'!E146</f>
        <v>0.42486061819905008</v>
      </c>
      <c r="E26" s="278">
        <f>'I. Datos de entrada'!F146</f>
        <v>0.49905820703473119</v>
      </c>
      <c r="F26" s="278">
        <f>'I. Datos de entrada'!G146</f>
        <v>1</v>
      </c>
      <c r="G26" s="277">
        <f>'I. Datos de entrada'!H146</f>
        <v>0</v>
      </c>
    </row>
    <row r="27" spans="1:15" s="270" customFormat="1" ht="25.05" customHeight="1" x14ac:dyDescent="0.35">
      <c r="A27" s="294" t="s">
        <v>17</v>
      </c>
      <c r="B27" s="278">
        <f>'I. Datos de entrada'!C147</f>
        <v>0</v>
      </c>
      <c r="C27" s="278">
        <f>'I. Datos de entrada'!D147</f>
        <v>0</v>
      </c>
      <c r="D27" s="278">
        <f>'I. Datos de entrada'!E147</f>
        <v>0</v>
      </c>
      <c r="E27" s="278">
        <f>'I. Datos de entrada'!F147</f>
        <v>0</v>
      </c>
      <c r="F27" s="278">
        <f>'I. Datos de entrada'!G147</f>
        <v>0</v>
      </c>
      <c r="G27" s="277">
        <f>'I. Datos de entrada'!H147</f>
        <v>1</v>
      </c>
    </row>
    <row r="28" spans="1:15" s="270" customFormat="1" ht="25.05" customHeight="1" thickBot="1" x14ac:dyDescent="0.4">
      <c r="A28" s="329" t="s">
        <v>4</v>
      </c>
      <c r="B28" s="333">
        <f>SUM(B25:B27)</f>
        <v>1</v>
      </c>
      <c r="C28" s="333">
        <f t="shared" ref="C28:G28" si="2">SUM(C25:C27)</f>
        <v>0.99999999999999989</v>
      </c>
      <c r="D28" s="333">
        <f t="shared" si="2"/>
        <v>1</v>
      </c>
      <c r="E28" s="333">
        <f t="shared" si="2"/>
        <v>1</v>
      </c>
      <c r="F28" s="333">
        <f t="shared" si="2"/>
        <v>1</v>
      </c>
      <c r="G28" s="334">
        <f t="shared" si="2"/>
        <v>1</v>
      </c>
    </row>
    <row r="29" spans="1:15" s="270" customFormat="1" ht="25.05" customHeight="1" x14ac:dyDescent="0.35">
      <c r="A29" s="298"/>
      <c r="B29" s="299"/>
      <c r="C29" s="299"/>
      <c r="D29" s="299"/>
      <c r="E29" s="299"/>
      <c r="F29" s="299"/>
      <c r="G29" s="299"/>
    </row>
    <row r="30" spans="1:15" ht="13.15" thickBot="1" x14ac:dyDescent="0.4">
      <c r="B30" s="279"/>
    </row>
    <row r="31" spans="1:15" ht="25.05" customHeight="1" x14ac:dyDescent="0.35">
      <c r="A31" s="620" t="s">
        <v>140</v>
      </c>
      <c r="B31" s="566" t="s">
        <v>141</v>
      </c>
      <c r="C31" s="566"/>
      <c r="D31" s="566"/>
      <c r="E31" s="566"/>
      <c r="F31" s="566"/>
      <c r="G31" s="567"/>
      <c r="I31" s="622" t="s">
        <v>145</v>
      </c>
    </row>
    <row r="32" spans="1:15" ht="25.05" customHeight="1" x14ac:dyDescent="0.35">
      <c r="A32" s="621"/>
      <c r="B32" s="568" t="s">
        <v>15</v>
      </c>
      <c r="C32" s="568" t="s">
        <v>16</v>
      </c>
      <c r="D32" s="568" t="s">
        <v>17</v>
      </c>
      <c r="E32" s="568" t="s">
        <v>18</v>
      </c>
      <c r="F32" s="568" t="s">
        <v>19</v>
      </c>
      <c r="G32" s="569" t="s">
        <v>20</v>
      </c>
      <c r="I32" s="623"/>
    </row>
    <row r="33" spans="1:9" s="270" customFormat="1" ht="25.05" customHeight="1" x14ac:dyDescent="0.35">
      <c r="A33" s="305" t="s">
        <v>2</v>
      </c>
      <c r="B33" s="280"/>
      <c r="C33" s="280"/>
      <c r="D33" s="280"/>
      <c r="E33" s="280"/>
      <c r="F33" s="280"/>
      <c r="G33" s="281"/>
      <c r="I33" s="300">
        <f>SUM(I34:I36)</f>
        <v>109478.17184136719</v>
      </c>
    </row>
    <row r="34" spans="1:9" s="270" customFormat="1" ht="25.05" customHeight="1" x14ac:dyDescent="0.35">
      <c r="A34" s="294" t="s">
        <v>15</v>
      </c>
      <c r="B34" s="283">
        <f>B$20*B25</f>
        <v>37249.899079447117</v>
      </c>
      <c r="C34" s="283">
        <f t="shared" ref="C34:G34" si="3">C$20*C25</f>
        <v>14814.57721069619</v>
      </c>
      <c r="D34" s="283">
        <f t="shared" si="3"/>
        <v>8109.198853016117</v>
      </c>
      <c r="E34" s="283">
        <f t="shared" si="3"/>
        <v>5019.8282586307714</v>
      </c>
      <c r="F34" s="283">
        <f t="shared" si="3"/>
        <v>0</v>
      </c>
      <c r="G34" s="301">
        <f t="shared" si="3"/>
        <v>0</v>
      </c>
      <c r="I34" s="282">
        <f>SUM(B34:H34)</f>
        <v>65193.503401790193</v>
      </c>
    </row>
    <row r="35" spans="1:9" s="270" customFormat="1" ht="25.05" customHeight="1" x14ac:dyDescent="0.35">
      <c r="A35" s="294" t="s">
        <v>16</v>
      </c>
      <c r="B35" s="283">
        <f t="shared" ref="B35:G36" si="4">B$20*B26</f>
        <v>3889.0724760740386</v>
      </c>
      <c r="C35" s="283">
        <f t="shared" si="4"/>
        <v>25866.541530612427</v>
      </c>
      <c r="D35" s="283">
        <f t="shared" si="4"/>
        <v>5990.3379020980219</v>
      </c>
      <c r="E35" s="283">
        <f t="shared" si="4"/>
        <v>5000.9532555576552</v>
      </c>
      <c r="F35" s="283">
        <f t="shared" si="4"/>
        <v>340.8412790024542</v>
      </c>
      <c r="G35" s="301">
        <f t="shared" si="4"/>
        <v>0</v>
      </c>
      <c r="I35" s="282">
        <f t="shared" ref="I35:I36" si="5">SUM(B35:H35)</f>
        <v>41087.746443344593</v>
      </c>
    </row>
    <row r="36" spans="1:9" s="270" customFormat="1" ht="25.05" customHeight="1" x14ac:dyDescent="0.35">
      <c r="A36" s="294" t="s">
        <v>17</v>
      </c>
      <c r="B36" s="283">
        <f t="shared" si="4"/>
        <v>0</v>
      </c>
      <c r="C36" s="283">
        <f t="shared" si="4"/>
        <v>0</v>
      </c>
      <c r="D36" s="283">
        <f t="shared" si="4"/>
        <v>0</v>
      </c>
      <c r="E36" s="283">
        <f t="shared" si="4"/>
        <v>0</v>
      </c>
      <c r="F36" s="283">
        <f t="shared" si="4"/>
        <v>0</v>
      </c>
      <c r="G36" s="301">
        <f t="shared" si="4"/>
        <v>3196.9219962323937</v>
      </c>
      <c r="I36" s="282">
        <f t="shared" si="5"/>
        <v>3196.9219962323937</v>
      </c>
    </row>
    <row r="37" spans="1:9" s="270" customFormat="1" ht="25.05" customHeight="1" x14ac:dyDescent="0.35">
      <c r="A37" s="305" t="s">
        <v>147</v>
      </c>
      <c r="B37" s="283"/>
      <c r="C37" s="283"/>
      <c r="D37" s="283"/>
      <c r="E37" s="283"/>
      <c r="F37" s="283"/>
      <c r="G37" s="281"/>
      <c r="I37" s="300">
        <f>SUM(I38:I40)</f>
        <v>310028.51489420509</v>
      </c>
    </row>
    <row r="38" spans="1:9" s="270" customFormat="1" ht="25.05" customHeight="1" x14ac:dyDescent="0.35">
      <c r="A38" s="294" t="s">
        <v>15</v>
      </c>
      <c r="B38" s="283">
        <f>B$21*B25</f>
        <v>104792.02884960601</v>
      </c>
      <c r="C38" s="283">
        <f t="shared" ref="C38:G38" si="6">C$21*C25</f>
        <v>41819.441815810038</v>
      </c>
      <c r="D38" s="283">
        <f t="shared" si="6"/>
        <v>20779.845546846605</v>
      </c>
      <c r="E38" s="283">
        <f t="shared" si="6"/>
        <v>15648.065341752845</v>
      </c>
      <c r="F38" s="283">
        <f t="shared" si="6"/>
        <v>0</v>
      </c>
      <c r="G38" s="281">
        <f t="shared" si="6"/>
        <v>0</v>
      </c>
      <c r="I38" s="282">
        <f>SUM(B38:H38)</f>
        <v>183039.38155401548</v>
      </c>
    </row>
    <row r="39" spans="1:9" s="270" customFormat="1" ht="25.05" customHeight="1" x14ac:dyDescent="0.35">
      <c r="A39" s="294" t="s">
        <v>16</v>
      </c>
      <c r="B39" s="283">
        <f>B$21*B26</f>
        <v>10940.80266477351</v>
      </c>
      <c r="C39" s="283">
        <f t="shared" ref="C39:G40" si="7">C$21*C26</f>
        <v>73017.563250787236</v>
      </c>
      <c r="D39" s="283">
        <f t="shared" si="7"/>
        <v>15350.258223439647</v>
      </c>
      <c r="E39" s="283">
        <f t="shared" si="7"/>
        <v>15589.227216981128</v>
      </c>
      <c r="F39" s="283">
        <f t="shared" si="7"/>
        <v>1164.919101604738</v>
      </c>
      <c r="G39" s="281">
        <f t="shared" si="7"/>
        <v>0</v>
      </c>
      <c r="I39" s="282">
        <f t="shared" ref="I39:I40" si="8">SUM(B39:H39)</f>
        <v>116062.77045758627</v>
      </c>
    </row>
    <row r="40" spans="1:9" s="270" customFormat="1" ht="25.05" customHeight="1" thickBot="1" x14ac:dyDescent="0.4">
      <c r="A40" s="295" t="s">
        <v>17</v>
      </c>
      <c r="B40" s="284">
        <f>B$21*B27</f>
        <v>0</v>
      </c>
      <c r="C40" s="284">
        <f t="shared" si="7"/>
        <v>0</v>
      </c>
      <c r="D40" s="284">
        <f t="shared" si="7"/>
        <v>0</v>
      </c>
      <c r="E40" s="284">
        <f t="shared" si="7"/>
        <v>0</v>
      </c>
      <c r="F40" s="284">
        <f t="shared" si="7"/>
        <v>0</v>
      </c>
      <c r="G40" s="285">
        <f t="shared" si="7"/>
        <v>10926.362882603342</v>
      </c>
      <c r="I40" s="286">
        <f t="shared" si="8"/>
        <v>10926.362882603342</v>
      </c>
    </row>
    <row r="42" spans="1:9" ht="13.15" thickBot="1" x14ac:dyDescent="0.4"/>
    <row r="43" spans="1:9" ht="60" customHeight="1" x14ac:dyDescent="0.35">
      <c r="A43" s="570" t="s">
        <v>209</v>
      </c>
      <c r="B43" s="571" t="s">
        <v>206</v>
      </c>
    </row>
    <row r="44" spans="1:9" s="270" customFormat="1" ht="25.05" customHeight="1" x14ac:dyDescent="0.35">
      <c r="A44" s="425" t="s">
        <v>15</v>
      </c>
      <c r="B44" s="281">
        <f>'I. Datos de entrada'!$C$107*1000</f>
        <v>19871495.627575893</v>
      </c>
      <c r="C44" s="269"/>
      <c r="D44" s="269"/>
      <c r="E44" s="269"/>
      <c r="F44" s="269"/>
      <c r="G44" s="269"/>
    </row>
    <row r="45" spans="1:9" s="270" customFormat="1" ht="25.05" customHeight="1" x14ac:dyDescent="0.35">
      <c r="A45" s="425" t="s">
        <v>16</v>
      </c>
      <c r="B45" s="281">
        <f>'I. Datos de entrada'!$D$107*1000</f>
        <v>18506105.669758081</v>
      </c>
      <c r="C45" s="269"/>
      <c r="D45" s="269"/>
      <c r="E45" s="269"/>
      <c r="F45" s="269"/>
      <c r="G45" s="269"/>
    </row>
    <row r="46" spans="1:9" s="270" customFormat="1" ht="25.05" customHeight="1" thickBot="1" x14ac:dyDescent="0.4">
      <c r="A46" s="426" t="s">
        <v>17</v>
      </c>
      <c r="B46" s="285">
        <f>'I. Datos de entrada'!$E$107*1000</f>
        <v>34247498.740129448</v>
      </c>
      <c r="C46" s="269"/>
      <c r="D46" s="269"/>
      <c r="E46" s="269"/>
      <c r="F46" s="269"/>
      <c r="G46" s="269"/>
    </row>
    <row r="47" spans="1:9" ht="13.15" thickBot="1" x14ac:dyDescent="0.4"/>
    <row r="48" spans="1:9" ht="25.05" customHeight="1" x14ac:dyDescent="0.35">
      <c r="A48" s="620" t="s">
        <v>142</v>
      </c>
      <c r="B48" s="566" t="s">
        <v>161</v>
      </c>
      <c r="C48" s="566"/>
      <c r="D48" s="567"/>
    </row>
    <row r="49" spans="1:15" ht="25.05" customHeight="1" x14ac:dyDescent="0.35">
      <c r="A49" s="621"/>
      <c r="B49" s="568" t="s">
        <v>15</v>
      </c>
      <c r="C49" s="568" t="s">
        <v>16</v>
      </c>
      <c r="D49" s="569" t="s">
        <v>17</v>
      </c>
    </row>
    <row r="50" spans="1:15" ht="30" customHeight="1" x14ac:dyDescent="0.35">
      <c r="A50" s="304" t="s">
        <v>2</v>
      </c>
      <c r="B50" s="415">
        <f>I34/B44</f>
        <v>3.2807547365141681E-3</v>
      </c>
      <c r="C50" s="415">
        <f>I35/B45</f>
        <v>2.2202265120796591E-3</v>
      </c>
      <c r="D50" s="416">
        <f>I36/B46</f>
        <v>9.3347605338733999E-5</v>
      </c>
      <c r="I50" s="275"/>
      <c r="J50" s="274"/>
      <c r="K50" s="274"/>
      <c r="L50" s="274"/>
      <c r="M50" s="274"/>
      <c r="N50" s="274"/>
      <c r="O50" s="270"/>
    </row>
    <row r="51" spans="1:15" ht="30" customHeight="1" x14ac:dyDescent="0.35">
      <c r="A51" s="304" t="s">
        <v>146</v>
      </c>
      <c r="B51" s="415">
        <f>I38/B44</f>
        <v>9.2111527478590857E-3</v>
      </c>
      <c r="C51" s="415">
        <f>I39/B45</f>
        <v>6.271593415099282E-3</v>
      </c>
      <c r="D51" s="416">
        <f>I40/B46</f>
        <v>3.1904119379674276E-4</v>
      </c>
      <c r="I51" s="275"/>
      <c r="J51" s="274"/>
      <c r="K51" s="274"/>
      <c r="L51" s="274"/>
      <c r="M51" s="274"/>
      <c r="N51" s="274"/>
      <c r="O51" s="270"/>
    </row>
    <row r="52" spans="1:15" ht="30" customHeight="1" thickBot="1" x14ac:dyDescent="0.4">
      <c r="A52" s="329" t="s">
        <v>150</v>
      </c>
      <c r="B52" s="331">
        <f>SUM(B50:B51)</f>
        <v>1.2491907484373253E-2</v>
      </c>
      <c r="C52" s="331">
        <f t="shared" ref="C52:D52" si="9">SUM(C50:C51)</f>
        <v>8.4918199271789407E-3</v>
      </c>
      <c r="D52" s="332">
        <f t="shared" si="9"/>
        <v>4.1238879913547673E-4</v>
      </c>
      <c r="I52" s="275"/>
      <c r="J52" s="274"/>
      <c r="K52" s="274"/>
      <c r="L52" s="274"/>
      <c r="M52" s="274"/>
      <c r="N52" s="274"/>
      <c r="O52" s="270"/>
    </row>
    <row r="53" spans="1:15" x14ac:dyDescent="0.35">
      <c r="A53" s="302"/>
      <c r="B53" s="303"/>
      <c r="C53" s="303"/>
      <c r="D53" s="303"/>
      <c r="I53" s="275"/>
      <c r="J53" s="274"/>
      <c r="K53" s="274"/>
      <c r="L53" s="274"/>
      <c r="M53" s="274"/>
      <c r="N53" s="274"/>
      <c r="O53" s="270"/>
    </row>
    <row r="55" spans="1:15" s="5" customFormat="1" ht="16.5" customHeight="1" x14ac:dyDescent="0.35">
      <c r="A55" s="5" t="s">
        <v>151</v>
      </c>
    </row>
    <row r="56" spans="1:15" ht="5.2" customHeight="1" thickBot="1" x14ac:dyDescent="0.4"/>
    <row r="57" spans="1:15" ht="23.25" customHeight="1" x14ac:dyDescent="0.35">
      <c r="A57" s="620" t="s">
        <v>142</v>
      </c>
      <c r="B57" s="515" t="s">
        <v>154</v>
      </c>
      <c r="C57" s="515"/>
      <c r="D57" s="515"/>
      <c r="E57" s="616" t="s">
        <v>124</v>
      </c>
    </row>
    <row r="58" spans="1:15" ht="38.25" x14ac:dyDescent="0.35">
      <c r="A58" s="621"/>
      <c r="B58" s="563" t="s">
        <v>156</v>
      </c>
      <c r="C58" s="563" t="s">
        <v>157</v>
      </c>
      <c r="D58" s="563" t="s">
        <v>158</v>
      </c>
      <c r="E58" s="617"/>
    </row>
    <row r="59" spans="1:15" customFormat="1" ht="18" customHeight="1" x14ac:dyDescent="0.35">
      <c r="A59" s="306" t="s">
        <v>152</v>
      </c>
      <c r="B59" s="309">
        <f>'Va. Peajes transporte'!B90</f>
        <v>492004.28741479316</v>
      </c>
      <c r="C59" s="309">
        <f>'Va. Peajes transporte'!C90</f>
        <v>109478.17184136722</v>
      </c>
      <c r="D59" s="309">
        <f>SUM(B59:C59)</f>
        <v>601482.45925616042</v>
      </c>
      <c r="E59" s="310">
        <f t="shared" ref="E59" si="10">B59/D59</f>
        <v>0.81798609393072508</v>
      </c>
      <c r="F59" s="201"/>
      <c r="G59" s="201"/>
      <c r="I59" s="201"/>
    </row>
    <row r="60" spans="1:15" customFormat="1" ht="18" customHeight="1" x14ac:dyDescent="0.35">
      <c r="A60" s="316" t="s">
        <v>153</v>
      </c>
      <c r="B60" s="407">
        <f>'Vb. Peajes distribución'!B90</f>
        <v>3000884.4740509093</v>
      </c>
      <c r="C60" s="407">
        <f>'Vb. Peajes distribución'!C90</f>
        <v>310028.51489420515</v>
      </c>
      <c r="D60" s="407">
        <f>SUM(B60:C60)</f>
        <v>3310912.9889451144</v>
      </c>
      <c r="E60" s="428">
        <f>B60/D60</f>
        <v>0.90636162414132693</v>
      </c>
      <c r="F60" s="201"/>
      <c r="G60" s="201"/>
      <c r="I60" s="201"/>
    </row>
    <row r="61" spans="1:15" customFormat="1" ht="21.7" customHeight="1" thickBot="1" x14ac:dyDescent="0.4">
      <c r="A61" s="417" t="s">
        <v>4</v>
      </c>
      <c r="B61" s="427">
        <f>SUM(B59:B60)</f>
        <v>3492888.7614657022</v>
      </c>
      <c r="C61" s="427">
        <f t="shared" ref="C61:D61" si="11">SUM(C59:C60)</f>
        <v>419506.68673557235</v>
      </c>
      <c r="D61" s="427">
        <f t="shared" si="11"/>
        <v>3912395.448201275</v>
      </c>
      <c r="E61" s="429">
        <f>B61/D61</f>
        <v>0.8927749783247394</v>
      </c>
      <c r="F61" s="201"/>
      <c r="G61" s="201"/>
    </row>
    <row r="62" spans="1:15" ht="13.15" thickBot="1" x14ac:dyDescent="0.4"/>
    <row r="63" spans="1:15" ht="23.25" customHeight="1" x14ac:dyDescent="0.35">
      <c r="A63" s="620" t="s">
        <v>142</v>
      </c>
      <c r="B63" s="515" t="s">
        <v>155</v>
      </c>
      <c r="C63" s="516"/>
    </row>
    <row r="64" spans="1:15" ht="38.25" x14ac:dyDescent="0.35">
      <c r="A64" s="621"/>
      <c r="B64" s="563" t="s">
        <v>159</v>
      </c>
      <c r="C64" s="564" t="s">
        <v>160</v>
      </c>
    </row>
    <row r="65" spans="1:18" s="1" customFormat="1" ht="21" customHeight="1" x14ac:dyDescent="0.35">
      <c r="A65" s="306" t="s">
        <v>152</v>
      </c>
      <c r="B65" s="411">
        <f>D59*75%/B59</f>
        <v>0.91688600278761845</v>
      </c>
      <c r="C65" s="412">
        <f>D59*25%/C59</f>
        <v>1.37352142701036</v>
      </c>
      <c r="D65" s="270"/>
      <c r="E65" s="270"/>
      <c r="F65" s="430"/>
      <c r="G65" s="430"/>
      <c r="I65" s="430"/>
    </row>
    <row r="66" spans="1:18" s="1" customFormat="1" ht="21" customHeight="1" thickBot="1" x14ac:dyDescent="0.4">
      <c r="A66" s="307" t="s">
        <v>153</v>
      </c>
      <c r="B66" s="413">
        <f>D60*75%/B60</f>
        <v>0.82748428444390321</v>
      </c>
      <c r="C66" s="414">
        <f>D60*25%/C60</f>
        <v>2.6698455383006769</v>
      </c>
      <c r="D66" s="270"/>
      <c r="E66" s="270"/>
      <c r="F66" s="430"/>
      <c r="G66" s="430"/>
      <c r="I66" s="430"/>
    </row>
    <row r="67" spans="1:18" ht="13.15" thickBot="1" x14ac:dyDescent="0.4"/>
    <row r="68" spans="1:18" ht="25.05" customHeight="1" x14ac:dyDescent="0.35">
      <c r="A68" s="620" t="s">
        <v>142</v>
      </c>
      <c r="B68" s="515" t="s">
        <v>122</v>
      </c>
      <c r="C68" s="515"/>
      <c r="D68" s="566" t="s">
        <v>161</v>
      </c>
      <c r="E68" s="566"/>
      <c r="F68" s="567"/>
    </row>
    <row r="69" spans="1:18" ht="25.05" customHeight="1" x14ac:dyDescent="0.35">
      <c r="A69" s="621"/>
      <c r="B69" s="517" t="s">
        <v>15</v>
      </c>
      <c r="C69" s="517" t="s">
        <v>16</v>
      </c>
      <c r="D69" s="568" t="s">
        <v>15</v>
      </c>
      <c r="E69" s="568" t="s">
        <v>16</v>
      </c>
      <c r="F69" s="569" t="s">
        <v>17</v>
      </c>
    </row>
    <row r="70" spans="1:18" ht="30" customHeight="1" x14ac:dyDescent="0.35">
      <c r="A70" s="304" t="s">
        <v>2</v>
      </c>
      <c r="B70" s="450">
        <f>ROUND('Va. Peajes transporte'!B79*$B$65,6)</f>
        <v>3.5488420000000001</v>
      </c>
      <c r="C70" s="450">
        <f>ROUND('Va. Peajes transporte'!C79*$B$65,6)</f>
        <v>7.0734000000000005E-2</v>
      </c>
      <c r="D70" s="432">
        <f>ROUND(B50*$C$65,6)</f>
        <v>4.5059999999999996E-3</v>
      </c>
      <c r="E70" s="432">
        <f>ROUND(C50*$C$65,6)</f>
        <v>3.0500000000000002E-3</v>
      </c>
      <c r="F70" s="433">
        <f>ROUND(D50*$C$65,6)</f>
        <v>1.2799999999999999E-4</v>
      </c>
      <c r="L70" s="275"/>
      <c r="M70" s="274"/>
      <c r="N70" s="274"/>
      <c r="O70" s="274"/>
      <c r="P70" s="274"/>
      <c r="Q70" s="274"/>
      <c r="R70" s="270"/>
    </row>
    <row r="71" spans="1:18" ht="30" customHeight="1" x14ac:dyDescent="0.35">
      <c r="A71" s="304" t="s">
        <v>146</v>
      </c>
      <c r="B71" s="450">
        <f>ROUND('Vb. Peajes distribución'!B79*$B$66,6)</f>
        <v>18.844297999999998</v>
      </c>
      <c r="C71" s="450">
        <f>ROUND('Vb. Peajes distribución'!C79*$B$66,6)</f>
        <v>1.079691</v>
      </c>
      <c r="D71" s="432">
        <f>ROUND(B51*$C$66,6)</f>
        <v>2.4591999999999999E-2</v>
      </c>
      <c r="E71" s="432">
        <f>ROUND(C51*$C$66,6)</f>
        <v>1.6743999999999998E-2</v>
      </c>
      <c r="F71" s="433">
        <f>ROUND(D51*$C$66,6)</f>
        <v>8.52E-4</v>
      </c>
      <c r="L71" s="275"/>
      <c r="M71" s="274"/>
      <c r="N71" s="274"/>
      <c r="O71" s="274"/>
      <c r="P71" s="274"/>
      <c r="Q71" s="274"/>
      <c r="R71" s="270"/>
    </row>
    <row r="72" spans="1:18" ht="30" customHeight="1" thickBot="1" x14ac:dyDescent="0.4">
      <c r="A72" s="329" t="s">
        <v>150</v>
      </c>
      <c r="B72" s="452">
        <f>SUM(B70:B71)</f>
        <v>22.393139999999999</v>
      </c>
      <c r="C72" s="452">
        <f>SUM(C70:C71)</f>
        <v>1.150425</v>
      </c>
      <c r="D72" s="434">
        <f>SUM(D70:D71)</f>
        <v>2.9097999999999999E-2</v>
      </c>
      <c r="E72" s="434">
        <f t="shared" ref="E72" si="12">SUM(E70:E71)</f>
        <v>1.9793999999999999E-2</v>
      </c>
      <c r="F72" s="435">
        <f t="shared" ref="F72" si="13">SUM(F70:F71)</f>
        <v>9.7999999999999997E-4</v>
      </c>
      <c r="L72" s="275"/>
      <c r="M72" s="274"/>
      <c r="N72" s="274"/>
      <c r="O72" s="274"/>
      <c r="P72" s="274"/>
      <c r="Q72" s="274"/>
      <c r="R72" s="270"/>
    </row>
    <row r="73" spans="1:18" ht="13.15" thickBot="1" x14ac:dyDescent="0.4"/>
    <row r="74" spans="1:18" ht="22.5" customHeight="1" x14ac:dyDescent="0.35">
      <c r="A74" s="620" t="s">
        <v>142</v>
      </c>
      <c r="B74" s="515" t="s">
        <v>154</v>
      </c>
      <c r="C74" s="515"/>
      <c r="D74" s="515"/>
      <c r="E74" s="616" t="s">
        <v>124</v>
      </c>
    </row>
    <row r="75" spans="1:18" ht="25.5" x14ac:dyDescent="0.35">
      <c r="A75" s="621"/>
      <c r="B75" s="563" t="s">
        <v>95</v>
      </c>
      <c r="C75" s="563" t="s">
        <v>96</v>
      </c>
      <c r="D75" s="563" t="s">
        <v>4</v>
      </c>
      <c r="E75" s="617"/>
    </row>
    <row r="76" spans="1:18" s="270" customFormat="1" ht="25.05" customHeight="1" x14ac:dyDescent="0.35">
      <c r="A76" s="306" t="s">
        <v>152</v>
      </c>
      <c r="B76" s="309">
        <f>B70*'I. Datos de entrada'!$C$122+C70*'I. Datos de entrada'!$H$122</f>
        <v>451111.89267897489</v>
      </c>
      <c r="C76" s="309">
        <f>$B$44*D70+$B$45*E70+$B$46*F70</f>
        <v>150368.26142935568</v>
      </c>
      <c r="D76" s="309">
        <f>SUM(B76:C76)</f>
        <v>601480.15410833061</v>
      </c>
      <c r="E76" s="310">
        <f t="shared" ref="E76" si="14">B76/D76</f>
        <v>0.75000295454091848</v>
      </c>
    </row>
    <row r="77" spans="1:18" s="270" customFormat="1" ht="25.05" customHeight="1" x14ac:dyDescent="0.35">
      <c r="A77" s="306" t="s">
        <v>153</v>
      </c>
      <c r="B77" s="309">
        <f>B71*'I. Datos de entrada'!$C$122+C71*'I. Datos de entrada'!$H$122</f>
        <v>2483184.7420654902</v>
      </c>
      <c r="C77" s="309">
        <f>$B$44*D71+$B$45*E71+$B$46*F71</f>
        <v>827724.92273436591</v>
      </c>
      <c r="D77" s="309">
        <f>SUM(B77:C77)</f>
        <v>3310909.664799856</v>
      </c>
      <c r="E77" s="310">
        <f>B77/D77</f>
        <v>0.75000075310589853</v>
      </c>
    </row>
    <row r="78" spans="1:18" s="270" customFormat="1" ht="25.05" customHeight="1" thickBot="1" x14ac:dyDescent="0.4">
      <c r="A78" s="344" t="s">
        <v>4</v>
      </c>
      <c r="B78" s="345">
        <f>SUM(B76:B77)</f>
        <v>2934296.6347444654</v>
      </c>
      <c r="C78" s="345">
        <f t="shared" ref="C78" si="15">SUM(C76:C77)</f>
        <v>978093.18416372163</v>
      </c>
      <c r="D78" s="345">
        <f t="shared" ref="D78" si="16">SUM(D76:D77)</f>
        <v>3912389.8189081866</v>
      </c>
      <c r="E78" s="346">
        <f>B78/D78</f>
        <v>0.75000109154852224</v>
      </c>
    </row>
    <row r="79" spans="1:18" x14ac:dyDescent="0.35">
      <c r="D79" s="377"/>
    </row>
  </sheetData>
  <mergeCells count="14"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  <mergeCell ref="A63:A64"/>
    <mergeCell ref="A68:A69"/>
    <mergeCell ref="A74:A75"/>
    <mergeCell ref="E74:E75"/>
    <mergeCell ref="A48:A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lastModifiedBy/>
  <dcterms:created xsi:type="dcterms:W3CDTF">2019-11-27T14:11:12Z</dcterms:created>
  <dcterms:modified xsi:type="dcterms:W3CDTF">2022-11-18T09:46:15Z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707d3e-ee9a-4b44-b9d3-ec2af873d3b4_Enabled">
    <vt:lpwstr>true</vt:lpwstr>
  </property>
  <property fmtid="{D5CDD505-2E9C-101B-9397-08002B2CF9AE}" pid="3" name="MSIP_Label_17707d3e-ee9a-4b44-b9d3-ec2af873d3b4_SetDate">
    <vt:lpwstr>2022-11-08T12:18:08Z</vt:lpwstr>
  </property>
  <property fmtid="{D5CDD505-2E9C-101B-9397-08002B2CF9AE}" pid="4" name="MSIP_Label_17707d3e-ee9a-4b44-b9d3-ec2af873d3b4_Method">
    <vt:lpwstr>Privileged</vt:lpwstr>
  </property>
  <property fmtid="{D5CDD505-2E9C-101B-9397-08002B2CF9AE}" pid="5" name="MSIP_Label_17707d3e-ee9a-4b44-b9d3-ec2af873d3b4_Name">
    <vt:lpwstr>PUBLICA</vt:lpwstr>
  </property>
  <property fmtid="{D5CDD505-2E9C-101B-9397-08002B2CF9AE}" pid="6" name="MSIP_Label_17707d3e-ee9a-4b44-b9d3-ec2af873d3b4_SiteId">
    <vt:lpwstr>6aa9af7d-66e3-4309-b8d7-e4aef08e5761</vt:lpwstr>
  </property>
  <property fmtid="{D5CDD505-2E9C-101B-9397-08002B2CF9AE}" pid="7" name="MSIP_Label_17707d3e-ee9a-4b44-b9d3-ec2af873d3b4_ActionId">
    <vt:lpwstr>59f65125-082a-4dba-8337-9cc37770366c</vt:lpwstr>
  </property>
  <property fmtid="{D5CDD505-2E9C-101B-9397-08002B2CF9AE}" pid="8" name="MSIP_Label_17707d3e-ee9a-4b44-b9d3-ec2af873d3b4_ContentBits">
    <vt:lpwstr>0</vt:lpwstr>
  </property>
</Properties>
</file>