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codeName="ThisWorkbook" defaultThemeVersion="124226"/>
  <xr:revisionPtr revIDLastSave="0" documentId="13_ncr:1_{3B2469FB-5B0A-4117-8BA5-DEA008891B17}" xr6:coauthVersionLast="36" xr6:coauthVersionMax="36" xr10:uidLastSave="{00000000-0000-0000-0000-000000000000}"/>
  <bookViews>
    <workbookView xWindow="480" yWindow="45" windowWidth="9195" windowHeight="6660" tabRatio="695" xr2:uid="{00000000-000D-0000-FFFF-FFFF00000000}"/>
  </bookViews>
  <sheets>
    <sheet name="I. Datos de entrada" sheetId="1" r:id="rId1"/>
    <sheet name="I. Balances de Potencia" sheetId="58" r:id="rId2"/>
    <sheet name="I. Balances de energía" sheetId="59" r:id="rId3"/>
    <sheet name="II. Coeficientes Potencia" sheetId="61" r:id="rId4"/>
    <sheet name="II. Coeficientes Energía" sheetId="60" r:id="rId5"/>
    <sheet name="III. Metodología de asignación" sheetId="62" r:id="rId6"/>
    <sheet name="IV. Peajes transporte" sheetId="64" r:id="rId7"/>
    <sheet name="IV. Peajes distribución" sheetId="65" r:id="rId8"/>
    <sheet name="IV. Peajes T&amp;D" sheetId="66" r:id="rId9"/>
    <sheet name="IV. Peajes autoconsumo próximo" sheetId="67" r:id="rId10"/>
  </sheets>
  <externalReferences>
    <externalReference r:id="rId11"/>
    <externalReference r:id="rId12"/>
  </externalReferences>
  <definedNames>
    <definedName name="_Ref181078917" localSheetId="3">#REF!</definedName>
    <definedName name="_Ref181078917" localSheetId="7">#REF!</definedName>
    <definedName name="_Ref181078917">#REF!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</workbook>
</file>

<file path=xl/calcChain.xml><?xml version="1.0" encoding="utf-8"?>
<calcChain xmlns="http://schemas.openxmlformats.org/spreadsheetml/2006/main">
  <c r="H21" i="62" l="1"/>
  <c r="G21" i="62"/>
  <c r="F21" i="62"/>
  <c r="E21" i="62"/>
  <c r="D21" i="62"/>
  <c r="C84" i="66" l="1"/>
  <c r="C31" i="1" l="1"/>
  <c r="C15" i="1" l="1"/>
  <c r="C19" i="1" l="1"/>
  <c r="H88" i="62"/>
  <c r="G88" i="62"/>
  <c r="F88" i="62"/>
  <c r="E88" i="62"/>
  <c r="D88" i="62"/>
  <c r="C88" i="62"/>
  <c r="D68" i="62"/>
  <c r="E68" i="62"/>
  <c r="F68" i="62"/>
  <c r="G68" i="62"/>
  <c r="H68" i="62"/>
  <c r="C68" i="62"/>
  <c r="H24" i="62"/>
  <c r="G24" i="62"/>
  <c r="F24" i="62"/>
  <c r="E24" i="62"/>
  <c r="D24" i="62"/>
  <c r="C30" i="1" l="1"/>
  <c r="C14" i="1"/>
  <c r="D11" i="62" l="1"/>
  <c r="B17" i="58"/>
  <c r="B77" i="59"/>
  <c r="F77" i="59" l="1"/>
  <c r="E11" i="61"/>
  <c r="J12" i="58"/>
  <c r="C65" i="58"/>
  <c r="J61" i="58" s="1"/>
  <c r="C17" i="58"/>
  <c r="D15" i="61"/>
  <c r="E10" i="61"/>
  <c r="D10" i="61"/>
  <c r="F29" i="59"/>
  <c r="J28" i="59" s="1"/>
  <c r="I12" i="60"/>
  <c r="E77" i="59"/>
  <c r="J75" i="59" s="1"/>
  <c r="J24" i="58"/>
  <c r="I77" i="58"/>
  <c r="G65" i="59"/>
  <c r="H61" i="59" s="1"/>
  <c r="I11" i="60"/>
  <c r="H10" i="61"/>
  <c r="I10" i="61"/>
  <c r="H10" i="60"/>
  <c r="I77" i="59"/>
  <c r="F10" i="60"/>
  <c r="G10" i="60"/>
  <c r="D20" i="61"/>
  <c r="E13" i="61"/>
  <c r="D19" i="61"/>
  <c r="F17" i="58"/>
  <c r="J16" i="58" s="1"/>
  <c r="D12" i="61"/>
  <c r="D17" i="58"/>
  <c r="J14" i="58" s="1"/>
  <c r="I17" i="58"/>
  <c r="E19" i="61"/>
  <c r="F29" i="58"/>
  <c r="J28" i="58" s="1"/>
  <c r="C29" i="58"/>
  <c r="J25" i="58" s="1"/>
  <c r="E12" i="61"/>
  <c r="D29" i="58"/>
  <c r="I29" i="58"/>
  <c r="B65" i="58"/>
  <c r="I19" i="61"/>
  <c r="J13" i="58"/>
  <c r="B53" i="59"/>
  <c r="C65" i="59"/>
  <c r="J61" i="59" s="1"/>
  <c r="G77" i="59"/>
  <c r="H72" i="59" s="1"/>
  <c r="C77" i="59"/>
  <c r="J73" i="59" s="1"/>
  <c r="E17" i="58"/>
  <c r="J15" i="58" s="1"/>
  <c r="G29" i="58"/>
  <c r="H26" i="58" s="1"/>
  <c r="H11" i="61"/>
  <c r="E15" i="61"/>
  <c r="J60" i="58"/>
  <c r="F65" i="58"/>
  <c r="J64" i="58" s="1"/>
  <c r="H12" i="61"/>
  <c r="D65" i="58"/>
  <c r="J62" i="58" s="1"/>
  <c r="I65" i="58"/>
  <c r="E77" i="58"/>
  <c r="J75" i="58" s="1"/>
  <c r="F77" i="58"/>
  <c r="J76" i="58" s="1"/>
  <c r="C77" i="58"/>
  <c r="J73" i="58" s="1"/>
  <c r="D77" i="58"/>
  <c r="J74" i="58" s="1"/>
  <c r="F65" i="59"/>
  <c r="J64" i="59" s="1"/>
  <c r="B65" i="59"/>
  <c r="J76" i="59"/>
  <c r="I10" i="60"/>
  <c r="I11" i="61"/>
  <c r="D77" i="59"/>
  <c r="J74" i="59" s="1"/>
  <c r="J26" i="58"/>
  <c r="I15" i="60"/>
  <c r="J72" i="59"/>
  <c r="G77" i="58"/>
  <c r="H75" i="58" s="1"/>
  <c r="F10" i="61"/>
  <c r="J72" i="58"/>
  <c r="I12" i="61"/>
  <c r="I15" i="61"/>
  <c r="H19" i="61"/>
  <c r="E65" i="58"/>
  <c r="J63" i="58" s="1"/>
  <c r="H15" i="61"/>
  <c r="F11" i="61"/>
  <c r="E29" i="58"/>
  <c r="J27" i="58" s="1"/>
  <c r="D11" i="61"/>
  <c r="B29" i="58"/>
  <c r="B77" i="58"/>
  <c r="G17" i="58"/>
  <c r="H13" i="58" s="1"/>
  <c r="G65" i="58"/>
  <c r="H63" i="58" s="1"/>
  <c r="F53" i="59"/>
  <c r="J52" i="59" s="1"/>
  <c r="H15" i="60"/>
  <c r="I65" i="59"/>
  <c r="E10" i="60"/>
  <c r="B29" i="59"/>
  <c r="H12" i="60"/>
  <c r="H19" i="60"/>
  <c r="C53" i="59"/>
  <c r="J49" i="59" s="1"/>
  <c r="G12" i="60"/>
  <c r="E65" i="59"/>
  <c r="J63" i="59" s="1"/>
  <c r="H11" i="60"/>
  <c r="I19" i="60"/>
  <c r="C41" i="59"/>
  <c r="J37" i="59" s="1"/>
  <c r="F11" i="60"/>
  <c r="B41" i="59"/>
  <c r="G53" i="59"/>
  <c r="G11" i="60"/>
  <c r="E41" i="59"/>
  <c r="J39" i="59" s="1"/>
  <c r="I53" i="59"/>
  <c r="E53" i="59"/>
  <c r="J51" i="59" s="1"/>
  <c r="D65" i="59"/>
  <c r="J62" i="59" s="1"/>
  <c r="J60" i="59"/>
  <c r="I41" i="59"/>
  <c r="G15" i="60"/>
  <c r="J48" i="59"/>
  <c r="J36" i="59"/>
  <c r="G41" i="59"/>
  <c r="H40" i="59" s="1"/>
  <c r="F19" i="60"/>
  <c r="G19" i="60"/>
  <c r="E15" i="60"/>
  <c r="G29" i="59"/>
  <c r="H24" i="59" s="1"/>
  <c r="C29" i="59"/>
  <c r="J25" i="59" s="1"/>
  <c r="F41" i="59"/>
  <c r="J40" i="59" s="1"/>
  <c r="F12" i="60"/>
  <c r="F15" i="60"/>
  <c r="D53" i="59"/>
  <c r="J50" i="59" s="1"/>
  <c r="D10" i="60"/>
  <c r="D11" i="60"/>
  <c r="E19" i="60"/>
  <c r="J24" i="59"/>
  <c r="D41" i="59"/>
  <c r="J38" i="59" s="1"/>
  <c r="I29" i="59"/>
  <c r="D29" i="59"/>
  <c r="J26" i="59" s="1"/>
  <c r="E12" i="60"/>
  <c r="E29" i="59"/>
  <c r="J27" i="59" s="1"/>
  <c r="E11" i="60"/>
  <c r="D19" i="60"/>
  <c r="E17" i="59"/>
  <c r="J15" i="59" s="1"/>
  <c r="D15" i="60"/>
  <c r="C17" i="59"/>
  <c r="J13" i="59" s="1"/>
  <c r="D12" i="60"/>
  <c r="B17" i="59"/>
  <c r="F17" i="59"/>
  <c r="J16" i="59" s="1"/>
  <c r="I17" i="59"/>
  <c r="D17" i="59"/>
  <c r="J14" i="59" s="1"/>
  <c r="J12" i="59"/>
  <c r="G17" i="59"/>
  <c r="H15" i="59" s="1"/>
  <c r="D91" i="62" l="1"/>
  <c r="H98" i="62"/>
  <c r="D89" i="62"/>
  <c r="C71" i="62"/>
  <c r="H91" i="62"/>
  <c r="C74" i="62"/>
  <c r="D70" i="62"/>
  <c r="D98" i="62"/>
  <c r="E94" i="62"/>
  <c r="G98" i="62"/>
  <c r="G78" i="62"/>
  <c r="E69" i="62"/>
  <c r="D78" i="62"/>
  <c r="F89" i="62"/>
  <c r="H69" i="62"/>
  <c r="F94" i="62"/>
  <c r="G91" i="62"/>
  <c r="G69" i="62"/>
  <c r="C69" i="62"/>
  <c r="E98" i="62"/>
  <c r="D90" i="62"/>
  <c r="E91" i="62"/>
  <c r="D94" i="62"/>
  <c r="E70" i="62"/>
  <c r="G71" i="62"/>
  <c r="H78" i="62"/>
  <c r="D71" i="62"/>
  <c r="F98" i="62"/>
  <c r="F90" i="62"/>
  <c r="F91" i="62"/>
  <c r="H71" i="62"/>
  <c r="D72" i="62"/>
  <c r="H90" i="62"/>
  <c r="D69" i="62"/>
  <c r="C79" i="62"/>
  <c r="C78" i="62"/>
  <c r="H25" i="58"/>
  <c r="F12" i="61"/>
  <c r="E14" i="61"/>
  <c r="H62" i="59"/>
  <c r="I16" i="61"/>
  <c r="D16" i="61"/>
  <c r="H13" i="61"/>
  <c r="D13" i="61"/>
  <c r="H63" i="59"/>
  <c r="E13" i="60"/>
  <c r="H76" i="58"/>
  <c r="H64" i="59"/>
  <c r="H74" i="59"/>
  <c r="I14" i="60"/>
  <c r="I13" i="61"/>
  <c r="H60" i="59"/>
  <c r="F14" i="60"/>
  <c r="E90" i="62"/>
  <c r="I13" i="60"/>
  <c r="H89" i="62"/>
  <c r="F13" i="60"/>
  <c r="E89" i="62"/>
  <c r="G13" i="60"/>
  <c r="H20" i="60"/>
  <c r="G94" i="62"/>
  <c r="H76" i="59"/>
  <c r="I20" i="60"/>
  <c r="H94" i="62"/>
  <c r="H73" i="59"/>
  <c r="G20" i="60"/>
  <c r="H14" i="60"/>
  <c r="G90" i="62"/>
  <c r="H75" i="59"/>
  <c r="H13" i="60"/>
  <c r="G89" i="62"/>
  <c r="D17" i="61"/>
  <c r="I20" i="61"/>
  <c r="H74" i="62"/>
  <c r="H74" i="58"/>
  <c r="H14" i="61"/>
  <c r="G70" i="62"/>
  <c r="H25" i="59"/>
  <c r="H73" i="58"/>
  <c r="E16" i="61"/>
  <c r="E20" i="61"/>
  <c r="D74" i="62"/>
  <c r="H20" i="61"/>
  <c r="G74" i="62"/>
  <c r="H28" i="59"/>
  <c r="H72" i="58"/>
  <c r="H16" i="61"/>
  <c r="D14" i="61"/>
  <c r="C70" i="62"/>
  <c r="I14" i="61"/>
  <c r="H70" i="62"/>
  <c r="C94" i="62"/>
  <c r="C89" i="62"/>
  <c r="C91" i="62"/>
  <c r="C98" i="62"/>
  <c r="C90" i="62"/>
  <c r="H27" i="58"/>
  <c r="H28" i="58"/>
  <c r="H21" i="61"/>
  <c r="H24" i="58"/>
  <c r="F13" i="61"/>
  <c r="F14" i="61"/>
  <c r="C41" i="58"/>
  <c r="F41" i="58"/>
  <c r="H64" i="58"/>
  <c r="H14" i="58"/>
  <c r="H16" i="58"/>
  <c r="H12" i="58"/>
  <c r="H62" i="58"/>
  <c r="H60" i="58"/>
  <c r="H15" i="58"/>
  <c r="H61" i="58"/>
  <c r="H16" i="60"/>
  <c r="I16" i="60"/>
  <c r="H39" i="59"/>
  <c r="H37" i="59"/>
  <c r="H49" i="59"/>
  <c r="H52" i="59"/>
  <c r="H50" i="59"/>
  <c r="H48" i="59"/>
  <c r="G14" i="60"/>
  <c r="H26" i="59"/>
  <c r="H27" i="59"/>
  <c r="H51" i="59"/>
  <c r="D20" i="60"/>
  <c r="D13" i="60"/>
  <c r="F20" i="60"/>
  <c r="H36" i="59"/>
  <c r="F16" i="60"/>
  <c r="E14" i="60"/>
  <c r="E20" i="60"/>
  <c r="G16" i="60"/>
  <c r="H38" i="59"/>
  <c r="E16" i="60"/>
  <c r="D16" i="60"/>
  <c r="D14" i="60"/>
  <c r="H13" i="59"/>
  <c r="H16" i="59"/>
  <c r="H12" i="59"/>
  <c r="H14" i="59"/>
  <c r="H18" i="61" l="1"/>
  <c r="G73" i="62"/>
  <c r="G99" i="62"/>
  <c r="C72" i="62"/>
  <c r="D99" i="62"/>
  <c r="E99" i="62"/>
  <c r="G80" i="62"/>
  <c r="G75" i="62"/>
  <c r="G79" i="62"/>
  <c r="G93" i="62"/>
  <c r="H99" i="62"/>
  <c r="F92" i="62"/>
  <c r="H92" i="62"/>
  <c r="H72" i="62"/>
  <c r="G72" i="62"/>
  <c r="D73" i="62"/>
  <c r="D93" i="62"/>
  <c r="E73" i="62"/>
  <c r="G92" i="62"/>
  <c r="H73" i="62"/>
  <c r="F99" i="62"/>
  <c r="H93" i="62"/>
  <c r="D92" i="62"/>
  <c r="C75" i="62"/>
  <c r="E71" i="62"/>
  <c r="F93" i="62"/>
  <c r="E72" i="62"/>
  <c r="D79" i="62"/>
  <c r="H79" i="62"/>
  <c r="E92" i="62"/>
  <c r="E93" i="62"/>
  <c r="I21" i="61"/>
  <c r="H75" i="62"/>
  <c r="D21" i="61"/>
  <c r="H17" i="61"/>
  <c r="E17" i="61"/>
  <c r="I17" i="61"/>
  <c r="H77" i="59"/>
  <c r="H65" i="59"/>
  <c r="H77" i="58"/>
  <c r="H29" i="58"/>
  <c r="I18" i="61"/>
  <c r="C73" i="62"/>
  <c r="D18" i="61"/>
  <c r="E18" i="61"/>
  <c r="J40" i="58"/>
  <c r="E21" i="61"/>
  <c r="D75" i="62"/>
  <c r="D22" i="61"/>
  <c r="C76" i="62"/>
  <c r="F95" i="62"/>
  <c r="C95" i="62"/>
  <c r="D95" i="62"/>
  <c r="H17" i="60"/>
  <c r="C92" i="62"/>
  <c r="I21" i="60"/>
  <c r="H95" i="62"/>
  <c r="C93" i="62"/>
  <c r="E95" i="62"/>
  <c r="C99" i="62"/>
  <c r="G95" i="62"/>
  <c r="H29" i="59"/>
  <c r="G18" i="61"/>
  <c r="G10" i="61"/>
  <c r="G15" i="61"/>
  <c r="G17" i="61"/>
  <c r="G16" i="61"/>
  <c r="E53" i="58"/>
  <c r="J51" i="58" s="1"/>
  <c r="F53" i="58"/>
  <c r="B53" i="58"/>
  <c r="G12" i="61"/>
  <c r="C53" i="58"/>
  <c r="J49" i="58" s="1"/>
  <c r="G11" i="61"/>
  <c r="D41" i="58"/>
  <c r="F17" i="61"/>
  <c r="H65" i="58"/>
  <c r="H17" i="58"/>
  <c r="E17" i="60"/>
  <c r="H53" i="59"/>
  <c r="H18" i="60"/>
  <c r="I18" i="60"/>
  <c r="F17" i="60"/>
  <c r="H21" i="60"/>
  <c r="I17" i="60"/>
  <c r="E21" i="60"/>
  <c r="G18" i="60"/>
  <c r="D21" i="60"/>
  <c r="F21" i="60"/>
  <c r="G21" i="60"/>
  <c r="H41" i="59"/>
  <c r="D17" i="60"/>
  <c r="G17" i="60"/>
  <c r="E18" i="60"/>
  <c r="F18" i="60"/>
  <c r="D18" i="60"/>
  <c r="H17" i="59"/>
  <c r="E76" i="62" l="1"/>
  <c r="F71" i="62"/>
  <c r="G77" i="62"/>
  <c r="F76" i="62"/>
  <c r="E22" i="61"/>
  <c r="F74" i="62"/>
  <c r="D80" i="62"/>
  <c r="H22" i="61"/>
  <c r="E22" i="60"/>
  <c r="F75" i="62"/>
  <c r="F77" i="62"/>
  <c r="H23" i="61"/>
  <c r="H76" i="62"/>
  <c r="H80" i="62"/>
  <c r="C81" i="62"/>
  <c r="C80" i="62"/>
  <c r="I22" i="61"/>
  <c r="D76" i="62"/>
  <c r="G76" i="62"/>
  <c r="G14" i="61"/>
  <c r="F70" i="62"/>
  <c r="E23" i="61"/>
  <c r="D77" i="62"/>
  <c r="G13" i="61"/>
  <c r="F69" i="62"/>
  <c r="D23" i="61"/>
  <c r="C77" i="62"/>
  <c r="I23" i="61"/>
  <c r="H77" i="62"/>
  <c r="I23" i="60"/>
  <c r="H97" i="62"/>
  <c r="C96" i="62"/>
  <c r="H23" i="60"/>
  <c r="G97" i="62"/>
  <c r="E97" i="62"/>
  <c r="C100" i="62"/>
  <c r="G100" i="62"/>
  <c r="H22" i="60"/>
  <c r="G96" i="62"/>
  <c r="F96" i="62"/>
  <c r="D100" i="62"/>
  <c r="C97" i="62"/>
  <c r="E100" i="62"/>
  <c r="I22" i="60"/>
  <c r="H96" i="62"/>
  <c r="D97" i="62"/>
  <c r="F100" i="62"/>
  <c r="F97" i="62"/>
  <c r="F22" i="60"/>
  <c r="E96" i="62"/>
  <c r="D96" i="62"/>
  <c r="H100" i="62"/>
  <c r="I53" i="58"/>
  <c r="J48" i="58"/>
  <c r="G20" i="61"/>
  <c r="J52" i="58"/>
  <c r="D53" i="58"/>
  <c r="J50" i="58" s="1"/>
  <c r="G21" i="61"/>
  <c r="G19" i="61"/>
  <c r="G53" i="58"/>
  <c r="H48" i="58" s="1"/>
  <c r="F18" i="61"/>
  <c r="F15" i="61"/>
  <c r="I41" i="58"/>
  <c r="J37" i="58"/>
  <c r="B41" i="58"/>
  <c r="F22" i="61"/>
  <c r="E41" i="58"/>
  <c r="J39" i="58" s="1"/>
  <c r="J38" i="58"/>
  <c r="F16" i="61"/>
  <c r="F19" i="61"/>
  <c r="G41" i="58"/>
  <c r="H36" i="58" s="1"/>
  <c r="J36" i="58"/>
  <c r="D22" i="60"/>
  <c r="G23" i="60"/>
  <c r="D23" i="60"/>
  <c r="E23" i="60"/>
  <c r="G22" i="60"/>
  <c r="F23" i="60"/>
  <c r="D101" i="62" l="1"/>
  <c r="F78" i="62"/>
  <c r="F79" i="62"/>
  <c r="H82" i="62"/>
  <c r="F72" i="62"/>
  <c r="F73" i="62"/>
  <c r="E78" i="62"/>
  <c r="E81" i="62"/>
  <c r="F80" i="62"/>
  <c r="G81" i="62"/>
  <c r="D81" i="62"/>
  <c r="D82" i="62"/>
  <c r="G82" i="62"/>
  <c r="H81" i="62"/>
  <c r="C82" i="62"/>
  <c r="G22" i="61"/>
  <c r="G23" i="61"/>
  <c r="F20" i="61"/>
  <c r="E74" i="62"/>
  <c r="F21" i="61"/>
  <c r="E75" i="62"/>
  <c r="F23" i="61"/>
  <c r="E77" i="62"/>
  <c r="G102" i="62"/>
  <c r="C102" i="62"/>
  <c r="H102" i="62"/>
  <c r="E102" i="62"/>
  <c r="F102" i="62"/>
  <c r="E101" i="62"/>
  <c r="G101" i="62"/>
  <c r="D102" i="62"/>
  <c r="F101" i="62"/>
  <c r="C101" i="62"/>
  <c r="H101" i="62"/>
  <c r="E40" i="62"/>
  <c r="H49" i="58"/>
  <c r="H52" i="58"/>
  <c r="H51" i="58"/>
  <c r="H50" i="58"/>
  <c r="H37" i="58"/>
  <c r="H39" i="58"/>
  <c r="H38" i="58"/>
  <c r="H40" i="58"/>
  <c r="F82" i="1"/>
  <c r="E82" i="62" l="1"/>
  <c r="E79" i="62"/>
  <c r="F82" i="62"/>
  <c r="E80" i="62"/>
  <c r="F81" i="62"/>
  <c r="H53" i="58"/>
  <c r="H41" i="58"/>
  <c r="B53" i="62"/>
  <c r="C25" i="64" l="1"/>
  <c r="D25" i="64"/>
  <c r="E25" i="64"/>
  <c r="B25" i="64"/>
  <c r="F25" i="64"/>
  <c r="G25" i="64"/>
  <c r="F21" i="65"/>
  <c r="B22" i="64"/>
  <c r="B22" i="65"/>
  <c r="D23" i="64"/>
  <c r="D23" i="65"/>
  <c r="C21" i="65"/>
  <c r="G22" i="64"/>
  <c r="G22" i="65"/>
  <c r="E23" i="64"/>
  <c r="E23" i="65"/>
  <c r="G24" i="64"/>
  <c r="G24" i="65"/>
  <c r="D21" i="65"/>
  <c r="D22" i="64"/>
  <c r="D22" i="65"/>
  <c r="B23" i="64"/>
  <c r="B23" i="65"/>
  <c r="F23" i="64"/>
  <c r="F23" i="65"/>
  <c r="D24" i="64"/>
  <c r="D24" i="65"/>
  <c r="B21" i="65"/>
  <c r="F22" i="64"/>
  <c r="F22" i="65"/>
  <c r="B24" i="64"/>
  <c r="B24" i="65"/>
  <c r="F24" i="64"/>
  <c r="F24" i="65"/>
  <c r="G21" i="65"/>
  <c r="C22" i="64"/>
  <c r="C22" i="65"/>
  <c r="C24" i="64"/>
  <c r="C24" i="65"/>
  <c r="E21" i="65"/>
  <c r="E22" i="64"/>
  <c r="E22" i="65"/>
  <c r="C23" i="64"/>
  <c r="C23" i="65"/>
  <c r="G23" i="64"/>
  <c r="G23" i="65"/>
  <c r="E24" i="64"/>
  <c r="E24" i="65"/>
  <c r="C21" i="64"/>
  <c r="G21" i="64"/>
  <c r="D21" i="64"/>
  <c r="E21" i="64"/>
  <c r="B21" i="64"/>
  <c r="F21" i="64"/>
  <c r="B26" i="65" l="1"/>
  <c r="D26" i="65"/>
  <c r="C26" i="65"/>
  <c r="E26" i="65"/>
  <c r="F26" i="65"/>
  <c r="G26" i="65"/>
  <c r="E12" i="62"/>
  <c r="E11" i="62" s="1"/>
  <c r="H12" i="62"/>
  <c r="H11" i="62" s="1"/>
  <c r="G12" i="62"/>
  <c r="G11" i="62" s="1"/>
  <c r="F12" i="62"/>
  <c r="F11" i="62" s="1"/>
  <c r="F41" i="62" l="1"/>
  <c r="B37" i="62" l="1"/>
  <c r="B39" i="62" l="1"/>
  <c r="C41" i="62"/>
  <c r="D39" i="62"/>
  <c r="E37" i="62"/>
  <c r="E42" i="62"/>
  <c r="F40" i="62"/>
  <c r="B40" i="62"/>
  <c r="C38" i="62"/>
  <c r="C42" i="62"/>
  <c r="D40" i="62"/>
  <c r="E38" i="62"/>
  <c r="F37" i="62"/>
  <c r="F42" i="62"/>
  <c r="C37" i="62"/>
  <c r="B41" i="62"/>
  <c r="C39" i="62"/>
  <c r="D37" i="62"/>
  <c r="D41" i="62"/>
  <c r="E39" i="62"/>
  <c r="F38" i="62"/>
  <c r="B38" i="62"/>
  <c r="B42" i="62"/>
  <c r="C40" i="62"/>
  <c r="D38" i="62"/>
  <c r="D42" i="62"/>
  <c r="E41" i="62"/>
  <c r="F39" i="62"/>
  <c r="C123" i="1"/>
  <c r="F123" i="1"/>
  <c r="D123" i="1"/>
  <c r="H123" i="1"/>
  <c r="E123" i="1"/>
  <c r="G123" i="1"/>
  <c r="B44" i="62" l="1"/>
  <c r="E44" i="62"/>
  <c r="C44" i="62"/>
  <c r="F44" i="62"/>
  <c r="D44" i="62"/>
  <c r="C59" i="1" l="1"/>
  <c r="D59" i="1" s="1"/>
  <c r="C58" i="1"/>
  <c r="D58" i="1" s="1"/>
  <c r="C57" i="1"/>
  <c r="D57" i="1" s="1"/>
  <c r="C56" i="1"/>
  <c r="D56" i="1" s="1"/>
  <c r="C55" i="1"/>
  <c r="D55" i="1" s="1"/>
  <c r="B47" i="1"/>
  <c r="F58" i="62" l="1"/>
  <c r="F54" i="62"/>
  <c r="E57" i="62"/>
  <c r="E53" i="62"/>
  <c r="D57" i="62"/>
  <c r="D53" i="62"/>
  <c r="C57" i="62"/>
  <c r="C53" i="62"/>
  <c r="B57" i="62"/>
  <c r="F57" i="62"/>
  <c r="F53" i="62"/>
  <c r="E56" i="62"/>
  <c r="D56" i="62"/>
  <c r="C56" i="62"/>
  <c r="B56" i="62"/>
  <c r="F56" i="62"/>
  <c r="E55" i="62"/>
  <c r="D55" i="62"/>
  <c r="C55" i="62"/>
  <c r="B55" i="62"/>
  <c r="F55" i="62"/>
  <c r="E58" i="62"/>
  <c r="E54" i="62"/>
  <c r="D58" i="62"/>
  <c r="D54" i="62"/>
  <c r="C58" i="62"/>
  <c r="C54" i="62"/>
  <c r="B58" i="62"/>
  <c r="B54" i="62"/>
  <c r="F77" i="1"/>
  <c r="D77" i="1"/>
  <c r="B77" i="1"/>
  <c r="C77" i="1"/>
  <c r="E77" i="1"/>
  <c r="C60" i="62" l="1"/>
  <c r="E60" i="62"/>
  <c r="F60" i="62"/>
  <c r="D60" i="62"/>
  <c r="B60" i="62"/>
  <c r="F93" i="1"/>
  <c r="B93" i="1"/>
  <c r="E93" i="1"/>
  <c r="D93" i="1"/>
  <c r="C93" i="1"/>
  <c r="E22" i="62" l="1"/>
  <c r="E25" i="62"/>
  <c r="G22" i="62"/>
  <c r="G25" i="62"/>
  <c r="H25" i="62"/>
  <c r="H22" i="62"/>
  <c r="F22" i="62"/>
  <c r="F25" i="62"/>
  <c r="J55" i="62" l="1"/>
  <c r="J57" i="62"/>
  <c r="J56" i="62"/>
  <c r="J58" i="62"/>
  <c r="J53" i="62"/>
  <c r="J54" i="62"/>
  <c r="I57" i="62"/>
  <c r="I53" i="62"/>
  <c r="I55" i="62"/>
  <c r="I56" i="62"/>
  <c r="I58" i="62"/>
  <c r="I54" i="62"/>
  <c r="I42" i="62"/>
  <c r="I39" i="62"/>
  <c r="I37" i="62"/>
  <c r="I41" i="62"/>
  <c r="I40" i="62"/>
  <c r="I38" i="62"/>
  <c r="J42" i="62"/>
  <c r="J39" i="62"/>
  <c r="J40" i="62"/>
  <c r="J38" i="62"/>
  <c r="J41" i="62"/>
  <c r="J37" i="62"/>
  <c r="H40" i="62"/>
  <c r="M68" i="62" s="1"/>
  <c r="H41" i="62"/>
  <c r="N68" i="62" s="1"/>
  <c r="H39" i="62"/>
  <c r="L68" i="62" s="1"/>
  <c r="H38" i="62"/>
  <c r="K68" i="62" s="1"/>
  <c r="H37" i="62"/>
  <c r="J68" i="62" s="1"/>
  <c r="H42" i="62"/>
  <c r="O68" i="62" s="1"/>
  <c r="K53" i="62"/>
  <c r="K58" i="62"/>
  <c r="K56" i="62"/>
  <c r="K54" i="62"/>
  <c r="K55" i="62"/>
  <c r="K57" i="62"/>
  <c r="H57" i="62"/>
  <c r="N88" i="62" s="1"/>
  <c r="F12" i="67" s="1"/>
  <c r="H54" i="62"/>
  <c r="K88" i="62" s="1"/>
  <c r="C12" i="67" s="1"/>
  <c r="H53" i="62"/>
  <c r="H55" i="62"/>
  <c r="L88" i="62" s="1"/>
  <c r="D12" i="67" s="1"/>
  <c r="H56" i="62"/>
  <c r="M88" i="62" s="1"/>
  <c r="E12" i="67" s="1"/>
  <c r="H58" i="62"/>
  <c r="O88" i="62" s="1"/>
  <c r="G12" i="67" s="1"/>
  <c r="K41" i="62"/>
  <c r="K37" i="62"/>
  <c r="K38" i="62"/>
  <c r="K40" i="62"/>
  <c r="K42" i="62"/>
  <c r="K39" i="62"/>
  <c r="J74" i="62" l="1"/>
  <c r="J77" i="62"/>
  <c r="J76" i="62"/>
  <c r="J75" i="62"/>
  <c r="J73" i="62"/>
  <c r="J72" i="62"/>
  <c r="J71" i="62"/>
  <c r="J70" i="62"/>
  <c r="J69" i="62"/>
  <c r="I44" i="62"/>
  <c r="L75" i="62"/>
  <c r="L77" i="62"/>
  <c r="L76" i="62"/>
  <c r="L74" i="62"/>
  <c r="K44" i="62"/>
  <c r="N94" i="62"/>
  <c r="F15" i="67" s="1"/>
  <c r="N97" i="62"/>
  <c r="N96" i="62"/>
  <c r="N95" i="62"/>
  <c r="O95" i="62"/>
  <c r="O94" i="62"/>
  <c r="G15" i="67" s="1"/>
  <c r="O97" i="62"/>
  <c r="O96" i="62"/>
  <c r="J44" i="62"/>
  <c r="L71" i="62"/>
  <c r="L73" i="62"/>
  <c r="L72" i="62"/>
  <c r="N70" i="62"/>
  <c r="N69" i="62"/>
  <c r="K90" i="62"/>
  <c r="K89" i="62"/>
  <c r="C13" i="67" s="1"/>
  <c r="J90" i="62"/>
  <c r="J89" i="62"/>
  <c r="B13" i="67" s="1"/>
  <c r="I60" i="62"/>
  <c r="O91" i="62"/>
  <c r="G14" i="67" s="1"/>
  <c r="O93" i="62"/>
  <c r="O92" i="62"/>
  <c r="O75" i="62"/>
  <c r="O74" i="62"/>
  <c r="O76" i="62"/>
  <c r="O77" i="62"/>
  <c r="N75" i="62"/>
  <c r="N76" i="62"/>
  <c r="N74" i="62"/>
  <c r="N77" i="62"/>
  <c r="J88" i="62"/>
  <c r="H60" i="62"/>
  <c r="L96" i="62"/>
  <c r="L95" i="62"/>
  <c r="L94" i="62"/>
  <c r="D15" i="67" s="1"/>
  <c r="L97" i="62"/>
  <c r="J94" i="62"/>
  <c r="B15" i="67" s="1"/>
  <c r="J97" i="62"/>
  <c r="J96" i="62"/>
  <c r="J95" i="62"/>
  <c r="K60" i="62"/>
  <c r="N71" i="62"/>
  <c r="N72" i="62"/>
  <c r="N73" i="62"/>
  <c r="O71" i="62"/>
  <c r="O73" i="62"/>
  <c r="O72" i="62"/>
  <c r="O90" i="62"/>
  <c r="O89" i="62"/>
  <c r="G13" i="67" s="1"/>
  <c r="N90" i="62"/>
  <c r="N89" i="62"/>
  <c r="F13" i="67" s="1"/>
  <c r="M93" i="62"/>
  <c r="M92" i="62"/>
  <c r="M91" i="62"/>
  <c r="E14" i="67" s="1"/>
  <c r="M75" i="62"/>
  <c r="M77" i="62"/>
  <c r="M76" i="62"/>
  <c r="M74" i="62"/>
  <c r="K95" i="62"/>
  <c r="K94" i="62"/>
  <c r="C15" i="67" s="1"/>
  <c r="K96" i="62"/>
  <c r="K97" i="62"/>
  <c r="K71" i="62"/>
  <c r="K73" i="62"/>
  <c r="K72" i="62"/>
  <c r="K69" i="62"/>
  <c r="K70" i="62"/>
  <c r="L70" i="62"/>
  <c r="L69" i="62"/>
  <c r="M89" i="62"/>
  <c r="E13" i="67" s="1"/>
  <c r="M90" i="62"/>
  <c r="K91" i="62"/>
  <c r="C14" i="67" s="1"/>
  <c r="K93" i="62"/>
  <c r="K92" i="62"/>
  <c r="N93" i="62"/>
  <c r="N92" i="62"/>
  <c r="N91" i="62"/>
  <c r="F14" i="67" s="1"/>
  <c r="K75" i="62"/>
  <c r="K74" i="62"/>
  <c r="K76" i="62"/>
  <c r="K77" i="62"/>
  <c r="M97" i="62"/>
  <c r="M96" i="62"/>
  <c r="M95" i="62"/>
  <c r="M94" i="62"/>
  <c r="E15" i="67" s="1"/>
  <c r="H44" i="62"/>
  <c r="M71" i="62"/>
  <c r="M72" i="62"/>
  <c r="M73" i="62"/>
  <c r="M69" i="62"/>
  <c r="M70" i="62"/>
  <c r="O69" i="62"/>
  <c r="O70" i="62"/>
  <c r="L90" i="62"/>
  <c r="L89" i="62"/>
  <c r="D13" i="67" s="1"/>
  <c r="J93" i="62"/>
  <c r="J92" i="62"/>
  <c r="J91" i="62"/>
  <c r="B14" i="67" s="1"/>
  <c r="J60" i="62"/>
  <c r="L92" i="62"/>
  <c r="L91" i="62"/>
  <c r="D14" i="67" s="1"/>
  <c r="L93" i="62"/>
  <c r="G12" i="65" l="1"/>
  <c r="G30" i="65" s="1"/>
  <c r="G41" i="65" s="1"/>
  <c r="C12" i="65"/>
  <c r="C30" i="65" s="1"/>
  <c r="C83" i="65" s="1"/>
  <c r="I12" i="65"/>
  <c r="B12" i="67"/>
  <c r="F12" i="65"/>
  <c r="F83" i="65" s="1"/>
  <c r="M12" i="65"/>
  <c r="B12" i="65"/>
  <c r="E14" i="65"/>
  <c r="E32" i="65" s="1"/>
  <c r="C15" i="65"/>
  <c r="C33" i="65" s="1"/>
  <c r="C86" i="65" s="1"/>
  <c r="K15" i="65"/>
  <c r="D15" i="65"/>
  <c r="D33" i="65" s="1"/>
  <c r="D86" i="65" s="1"/>
  <c r="L12" i="65"/>
  <c r="E13" i="65"/>
  <c r="E31" i="65" s="1"/>
  <c r="L13" i="65"/>
  <c r="N15" i="65"/>
  <c r="K13" i="65"/>
  <c r="M13" i="65"/>
  <c r="N12" i="65"/>
  <c r="I14" i="65"/>
  <c r="L14" i="65"/>
  <c r="F14" i="65"/>
  <c r="I13" i="65"/>
  <c r="F13" i="65"/>
  <c r="B13" i="65"/>
  <c r="B31" i="65" s="1"/>
  <c r="B15" i="65"/>
  <c r="K14" i="65"/>
  <c r="L15" i="65"/>
  <c r="M14" i="65"/>
  <c r="D13" i="65"/>
  <c r="D31" i="65" s="1"/>
  <c r="N13" i="65"/>
  <c r="G14" i="65"/>
  <c r="G32" i="65" s="1"/>
  <c r="I15" i="65"/>
  <c r="F15" i="65"/>
  <c r="M15" i="65"/>
  <c r="E12" i="65"/>
  <c r="E30" i="65" s="1"/>
  <c r="J12" i="65"/>
  <c r="D12" i="65"/>
  <c r="D30" i="65" s="1"/>
  <c r="K12" i="65"/>
  <c r="C14" i="65"/>
  <c r="C32" i="65" s="1"/>
  <c r="C13" i="65"/>
  <c r="C31" i="65" s="1"/>
  <c r="E15" i="65"/>
  <c r="E33" i="65" s="1"/>
  <c r="E86" i="65" s="1"/>
  <c r="D14" i="65"/>
  <c r="D32" i="65" s="1"/>
  <c r="G13" i="65"/>
  <c r="G31" i="65" s="1"/>
  <c r="J14" i="65"/>
  <c r="J15" i="65"/>
  <c r="G15" i="65"/>
  <c r="G33" i="65" s="1"/>
  <c r="N14" i="65"/>
  <c r="J13" i="65"/>
  <c r="B14" i="65"/>
  <c r="B32" i="65" s="1"/>
  <c r="G83" i="65" l="1"/>
  <c r="F86" i="65"/>
  <c r="B30" i="65"/>
  <c r="G17" i="65"/>
  <c r="B33" i="65"/>
  <c r="B86" i="65" s="1"/>
  <c r="C41" i="65"/>
  <c r="F30" i="65"/>
  <c r="F41" i="65" s="1"/>
  <c r="F85" i="65"/>
  <c r="F32" i="65"/>
  <c r="E73" i="65"/>
  <c r="E85" i="65"/>
  <c r="E43" i="65"/>
  <c r="C72" i="65"/>
  <c r="C84" i="65"/>
  <c r="C42" i="65"/>
  <c r="B84" i="65"/>
  <c r="B42" i="65"/>
  <c r="C73" i="65"/>
  <c r="C85" i="65"/>
  <c r="C43" i="65"/>
  <c r="D73" i="65"/>
  <c r="D85" i="65"/>
  <c r="D43" i="65"/>
  <c r="F33" i="65"/>
  <c r="G73" i="65"/>
  <c r="G43" i="65"/>
  <c r="D72" i="65"/>
  <c r="D84" i="65"/>
  <c r="D42" i="65"/>
  <c r="E72" i="65"/>
  <c r="E84" i="65"/>
  <c r="E42" i="65"/>
  <c r="C74" i="65"/>
  <c r="C44" i="65"/>
  <c r="C71" i="65"/>
  <c r="G74" i="65"/>
  <c r="G44" i="65"/>
  <c r="B85" i="65"/>
  <c r="B43" i="65"/>
  <c r="G72" i="65"/>
  <c r="G42" i="65"/>
  <c r="E74" i="65"/>
  <c r="E44" i="65"/>
  <c r="D71" i="65"/>
  <c r="D83" i="65"/>
  <c r="D41" i="65"/>
  <c r="E71" i="65"/>
  <c r="E83" i="65"/>
  <c r="E41" i="65"/>
  <c r="F84" i="65"/>
  <c r="F31" i="65"/>
  <c r="D74" i="65"/>
  <c r="D44" i="65"/>
  <c r="G71" i="65"/>
  <c r="G84" i="65" l="1"/>
  <c r="G86" i="65"/>
  <c r="G85" i="65"/>
  <c r="C82" i="65"/>
  <c r="B73" i="65"/>
  <c r="B74" i="65"/>
  <c r="B71" i="65"/>
  <c r="B83" i="65"/>
  <c r="B44" i="65"/>
  <c r="B72" i="65"/>
  <c r="B41" i="65"/>
  <c r="F71" i="65"/>
  <c r="F74" i="65"/>
  <c r="F44" i="65"/>
  <c r="F72" i="65"/>
  <c r="F42" i="65"/>
  <c r="B96" i="65"/>
  <c r="F73" i="65"/>
  <c r="F43" i="65"/>
  <c r="B98" i="65" l="1"/>
  <c r="B97" i="65"/>
  <c r="B82" i="65"/>
  <c r="B95" i="65"/>
  <c r="B94" i="65" l="1"/>
  <c r="B101" i="65" s="1"/>
  <c r="D25" i="62"/>
  <c r="D22" i="62"/>
  <c r="J11" i="62"/>
  <c r="L40" i="62" l="1"/>
  <c r="J22" i="62"/>
  <c r="J21" i="62" s="1"/>
  <c r="L39" i="62"/>
  <c r="L38" i="62"/>
  <c r="L41" i="62"/>
  <c r="L42" i="62"/>
  <c r="L37" i="62"/>
  <c r="L53" i="62"/>
  <c r="L55" i="62"/>
  <c r="L54" i="62"/>
  <c r="L56" i="62"/>
  <c r="L58" i="62"/>
  <c r="J25" i="62"/>
  <c r="J24" i="62" s="1"/>
  <c r="L57" i="62"/>
  <c r="J82" i="62" l="1"/>
  <c r="B12" i="64" s="1"/>
  <c r="J78" i="62"/>
  <c r="J81" i="62"/>
  <c r="B13" i="64" s="1"/>
  <c r="B31" i="64" s="1"/>
  <c r="B84" i="64" s="1"/>
  <c r="J80" i="62"/>
  <c r="B14" i="64" s="1"/>
  <c r="J79" i="62"/>
  <c r="B15" i="64" s="1"/>
  <c r="L44" i="62"/>
  <c r="O100" i="62"/>
  <c r="N14" i="64" s="1"/>
  <c r="O99" i="62"/>
  <c r="N15" i="64" s="1"/>
  <c r="O102" i="62"/>
  <c r="N12" i="64" s="1"/>
  <c r="O98" i="62"/>
  <c r="O101" i="62"/>
  <c r="N13" i="64" s="1"/>
  <c r="J102" i="62"/>
  <c r="I12" i="64" s="1"/>
  <c r="J98" i="62"/>
  <c r="J101" i="62"/>
  <c r="I13" i="64" s="1"/>
  <c r="J100" i="62"/>
  <c r="I14" i="64" s="1"/>
  <c r="J99" i="62"/>
  <c r="I15" i="64" s="1"/>
  <c r="L60" i="62"/>
  <c r="K79" i="62"/>
  <c r="C15" i="64" s="1"/>
  <c r="C33" i="64" s="1"/>
  <c r="C86" i="64" s="1"/>
  <c r="K80" i="62"/>
  <c r="C14" i="64" s="1"/>
  <c r="C32" i="64" s="1"/>
  <c r="K81" i="62"/>
  <c r="C13" i="64" s="1"/>
  <c r="C31" i="64" s="1"/>
  <c r="K78" i="62"/>
  <c r="C16" i="64" s="1"/>
  <c r="K82" i="62"/>
  <c r="C12" i="64" s="1"/>
  <c r="C30" i="64" s="1"/>
  <c r="M101" i="62"/>
  <c r="L13" i="64" s="1"/>
  <c r="M100" i="62"/>
  <c r="L14" i="64" s="1"/>
  <c r="M102" i="62"/>
  <c r="L12" i="64" s="1"/>
  <c r="M99" i="62"/>
  <c r="L15" i="64" s="1"/>
  <c r="M98" i="62"/>
  <c r="L79" i="62"/>
  <c r="D15" i="64" s="1"/>
  <c r="D33" i="64" s="1"/>
  <c r="L78" i="62"/>
  <c r="D16" i="64" s="1"/>
  <c r="L80" i="62"/>
  <c r="D14" i="64" s="1"/>
  <c r="D32" i="64" s="1"/>
  <c r="D85" i="64" s="1"/>
  <c r="L82" i="62"/>
  <c r="D12" i="64" s="1"/>
  <c r="D30" i="64" s="1"/>
  <c r="L81" i="62"/>
  <c r="D13" i="64" s="1"/>
  <c r="D31" i="64" s="1"/>
  <c r="N102" i="62"/>
  <c r="M12" i="64" s="1"/>
  <c r="N98" i="62"/>
  <c r="N101" i="62"/>
  <c r="M13" i="64" s="1"/>
  <c r="N99" i="62"/>
  <c r="M15" i="64" s="1"/>
  <c r="N100" i="62"/>
  <c r="M14" i="64" s="1"/>
  <c r="K99" i="62"/>
  <c r="J15" i="64" s="1"/>
  <c r="K98" i="62"/>
  <c r="K102" i="62"/>
  <c r="J12" i="64" s="1"/>
  <c r="K101" i="62"/>
  <c r="J13" i="64" s="1"/>
  <c r="K100" i="62"/>
  <c r="J14" i="64" s="1"/>
  <c r="O79" i="62"/>
  <c r="G15" i="64" s="1"/>
  <c r="G33" i="64" s="1"/>
  <c r="O80" i="62"/>
  <c r="G14" i="64" s="1"/>
  <c r="G32" i="64" s="1"/>
  <c r="O78" i="62"/>
  <c r="G16" i="64" s="1"/>
  <c r="O82" i="62"/>
  <c r="G12" i="64" s="1"/>
  <c r="G30" i="64" s="1"/>
  <c r="O81" i="62"/>
  <c r="G13" i="64" s="1"/>
  <c r="G31" i="64" s="1"/>
  <c r="L100" i="62"/>
  <c r="K14" i="64" s="1"/>
  <c r="L99" i="62"/>
  <c r="K15" i="64" s="1"/>
  <c r="L102" i="62"/>
  <c r="K12" i="64" s="1"/>
  <c r="L101" i="62"/>
  <c r="K13" i="64" s="1"/>
  <c r="L98" i="62"/>
  <c r="N79" i="62"/>
  <c r="F15" i="64" s="1"/>
  <c r="N81" i="62"/>
  <c r="F13" i="64" s="1"/>
  <c r="N82" i="62"/>
  <c r="F12" i="64" s="1"/>
  <c r="N80" i="62"/>
  <c r="F14" i="64" s="1"/>
  <c r="N78" i="62"/>
  <c r="F16" i="64" s="1"/>
  <c r="M79" i="62"/>
  <c r="E15" i="64" s="1"/>
  <c r="E33" i="64" s="1"/>
  <c r="E86" i="64" s="1"/>
  <c r="M82" i="62"/>
  <c r="E12" i="64" s="1"/>
  <c r="E30" i="64" s="1"/>
  <c r="M81" i="62"/>
  <c r="E13" i="64" s="1"/>
  <c r="E31" i="64" s="1"/>
  <c r="E84" i="64" s="1"/>
  <c r="M80" i="62"/>
  <c r="E14" i="64" s="1"/>
  <c r="E32" i="64" s="1"/>
  <c r="E85" i="64" s="1"/>
  <c r="M78" i="62"/>
  <c r="E16" i="64" s="1"/>
  <c r="E14" i="66" l="1"/>
  <c r="D13" i="66"/>
  <c r="C14" i="66"/>
  <c r="E12" i="66"/>
  <c r="E13" i="66"/>
  <c r="B16" i="64"/>
  <c r="B34" i="64" s="1"/>
  <c r="E34" i="64"/>
  <c r="E75" i="64" s="1"/>
  <c r="G34" i="64"/>
  <c r="G75" i="64" s="1"/>
  <c r="D34" i="64"/>
  <c r="C34" i="64"/>
  <c r="E83" i="64"/>
  <c r="C83" i="64"/>
  <c r="F83" i="64"/>
  <c r="B32" i="64"/>
  <c r="B85" i="64" s="1"/>
  <c r="B33" i="64"/>
  <c r="B44" i="64" s="1"/>
  <c r="B30" i="64"/>
  <c r="K16" i="64"/>
  <c r="D16" i="67"/>
  <c r="J16" i="64"/>
  <c r="C16" i="67"/>
  <c r="M16" i="64"/>
  <c r="F16" i="67"/>
  <c r="N16" i="64"/>
  <c r="G16" i="67"/>
  <c r="L16" i="64"/>
  <c r="E16" i="67"/>
  <c r="I16" i="64"/>
  <c r="B16" i="67"/>
  <c r="F32" i="64"/>
  <c r="F85" i="64"/>
  <c r="D84" i="64"/>
  <c r="D86" i="64"/>
  <c r="C84" i="64"/>
  <c r="F30" i="64"/>
  <c r="D83" i="64"/>
  <c r="C85" i="64"/>
  <c r="B12" i="66"/>
  <c r="F31" i="64"/>
  <c r="F42" i="64" s="1"/>
  <c r="F84" i="64"/>
  <c r="F34" i="64"/>
  <c r="F87" i="64"/>
  <c r="F33" i="64"/>
  <c r="F86" i="64"/>
  <c r="G44" i="64"/>
  <c r="E42" i="64"/>
  <c r="G43" i="64"/>
  <c r="G42" i="64"/>
  <c r="E44" i="64"/>
  <c r="D42" i="64"/>
  <c r="D44" i="64"/>
  <c r="C42" i="64"/>
  <c r="E41" i="64"/>
  <c r="D41" i="64"/>
  <c r="C43" i="64"/>
  <c r="B42" i="64"/>
  <c r="G41" i="64"/>
  <c r="D43" i="64"/>
  <c r="C41" i="64"/>
  <c r="C44" i="64"/>
  <c r="E43" i="64"/>
  <c r="B87" i="64" l="1"/>
  <c r="C13" i="66"/>
  <c r="B13" i="66"/>
  <c r="D14" i="66"/>
  <c r="C11" i="66"/>
  <c r="D12" i="66"/>
  <c r="E11" i="66"/>
  <c r="C12" i="66"/>
  <c r="G74" i="64"/>
  <c r="E74" i="64"/>
  <c r="E71" i="64"/>
  <c r="B75" i="64"/>
  <c r="G73" i="64"/>
  <c r="G71" i="64"/>
  <c r="E87" i="64"/>
  <c r="F75" i="64"/>
  <c r="C75" i="64"/>
  <c r="D87" i="64"/>
  <c r="E73" i="64"/>
  <c r="E72" i="64"/>
  <c r="E45" i="64"/>
  <c r="C45" i="64"/>
  <c r="G45" i="64"/>
  <c r="G72" i="64"/>
  <c r="D75" i="64"/>
  <c r="D72" i="64"/>
  <c r="C71" i="64"/>
  <c r="C74" i="64"/>
  <c r="C73" i="64"/>
  <c r="C72" i="64"/>
  <c r="D73" i="64"/>
  <c r="D71" i="64"/>
  <c r="D45" i="64"/>
  <c r="D74" i="64"/>
  <c r="F45" i="64"/>
  <c r="F72" i="64"/>
  <c r="F41" i="64"/>
  <c r="D11" i="66"/>
  <c r="B43" i="64"/>
  <c r="B86" i="64"/>
  <c r="B41" i="64"/>
  <c r="B83" i="64"/>
  <c r="F73" i="64"/>
  <c r="F74" i="64"/>
  <c r="F43" i="64"/>
  <c r="F71" i="64"/>
  <c r="B73" i="64"/>
  <c r="B45" i="64"/>
  <c r="B71" i="64"/>
  <c r="F44" i="64"/>
  <c r="B72" i="64"/>
  <c r="B74" i="64"/>
  <c r="F15" i="66"/>
  <c r="G87" i="64"/>
  <c r="F12" i="66"/>
  <c r="G84" i="64"/>
  <c r="F11" i="66"/>
  <c r="G83" i="64"/>
  <c r="F14" i="66"/>
  <c r="G86" i="64"/>
  <c r="F13" i="66"/>
  <c r="G85" i="64"/>
  <c r="C87" i="64" l="1"/>
  <c r="B15" i="66"/>
  <c r="C82" i="64"/>
  <c r="G15" i="66"/>
  <c r="B14" i="66"/>
  <c r="D15" i="66"/>
  <c r="G13" i="66"/>
  <c r="B82" i="64"/>
  <c r="E15" i="66"/>
  <c r="B11" i="66"/>
  <c r="F54" i="66"/>
  <c r="F55" i="66"/>
  <c r="F53" i="66"/>
  <c r="F52" i="66"/>
  <c r="F56" i="66"/>
  <c r="G26" i="66"/>
  <c r="G12" i="66"/>
  <c r="B96" i="64"/>
  <c r="B97" i="64"/>
  <c r="G14" i="66"/>
  <c r="B98" i="64"/>
  <c r="G11" i="66"/>
  <c r="B95" i="64"/>
  <c r="B99" i="64"/>
  <c r="E56" i="66" l="1"/>
  <c r="C15" i="66"/>
  <c r="C26" i="66" s="1"/>
  <c r="B24" i="66"/>
  <c r="D52" i="66"/>
  <c r="B54" i="66"/>
  <c r="B53" i="66"/>
  <c r="B56" i="66"/>
  <c r="F26" i="66"/>
  <c r="E24" i="66"/>
  <c r="D24" i="66"/>
  <c r="G54" i="66"/>
  <c r="G24" i="66"/>
  <c r="C24" i="66"/>
  <c r="F24" i="66"/>
  <c r="C55" i="66"/>
  <c r="E55" i="66"/>
  <c r="E52" i="66"/>
  <c r="D26" i="66"/>
  <c r="D54" i="66"/>
  <c r="B94" i="64"/>
  <c r="B65" i="66" s="1"/>
  <c r="B55" i="66"/>
  <c r="E26" i="66"/>
  <c r="B26" i="66"/>
  <c r="D56" i="66"/>
  <c r="D55" i="66"/>
  <c r="D53" i="66"/>
  <c r="E53" i="66"/>
  <c r="G56" i="66"/>
  <c r="E54" i="66"/>
  <c r="B10" i="66"/>
  <c r="C10" i="66"/>
  <c r="B52" i="66"/>
  <c r="B66" i="66"/>
  <c r="B67" i="66"/>
  <c r="B70" i="66"/>
  <c r="B69" i="66"/>
  <c r="G55" i="66"/>
  <c r="G52" i="66"/>
  <c r="G53" i="66"/>
  <c r="F23" i="66"/>
  <c r="G22" i="66"/>
  <c r="C22" i="66"/>
  <c r="E22" i="66"/>
  <c r="D22" i="66"/>
  <c r="B22" i="66"/>
  <c r="G23" i="66"/>
  <c r="E23" i="66"/>
  <c r="B23" i="66"/>
  <c r="D23" i="66"/>
  <c r="C23" i="66"/>
  <c r="G25" i="66"/>
  <c r="C25" i="66"/>
  <c r="E25" i="66"/>
  <c r="B25" i="66"/>
  <c r="D25" i="66"/>
  <c r="F25" i="66"/>
  <c r="F22" i="66"/>
  <c r="B68" i="66"/>
  <c r="C52" i="66" l="1"/>
  <c r="C56" i="66"/>
  <c r="C54" i="66"/>
  <c r="C53" i="66"/>
  <c r="B101" i="64"/>
  <c r="B72" i="66"/>
  <c r="M25" i="64" l="1"/>
  <c r="M34" i="64" s="1"/>
  <c r="F25" i="67"/>
  <c r="L25" i="64"/>
  <c r="L34" i="64" s="1"/>
  <c r="E25" i="67"/>
  <c r="J25" i="64"/>
  <c r="J34" i="64" s="1"/>
  <c r="C25" i="67"/>
  <c r="G25" i="67"/>
  <c r="N25" i="64"/>
  <c r="N34" i="64" s="1"/>
  <c r="I25" i="64"/>
  <c r="I34" i="64" s="1"/>
  <c r="B25" i="67"/>
  <c r="I106" i="1"/>
  <c r="D25" i="67"/>
  <c r="K25" i="64"/>
  <c r="K34" i="64" s="1"/>
  <c r="D34" i="67" l="1"/>
  <c r="E34" i="67"/>
  <c r="F34" i="67"/>
  <c r="G34" i="67"/>
  <c r="B34" i="67"/>
  <c r="C34" i="67"/>
  <c r="C22" i="67"/>
  <c r="J22" i="65"/>
  <c r="J31" i="65" s="1"/>
  <c r="J22" i="64"/>
  <c r="J31" i="64" s="1"/>
  <c r="J72" i="64" s="1"/>
  <c r="B23" i="67"/>
  <c r="I23" i="65"/>
  <c r="I32" i="65" s="1"/>
  <c r="I23" i="64"/>
  <c r="I32" i="64" s="1"/>
  <c r="I73" i="64" s="1"/>
  <c r="I104" i="1"/>
  <c r="N22" i="65"/>
  <c r="N31" i="65" s="1"/>
  <c r="N22" i="64"/>
  <c r="N31" i="64" s="1"/>
  <c r="N72" i="64" s="1"/>
  <c r="G22" i="67"/>
  <c r="M23" i="65"/>
  <c r="M32" i="65" s="1"/>
  <c r="F23" i="67"/>
  <c r="M23" i="64"/>
  <c r="M32" i="64" s="1"/>
  <c r="M73" i="64" s="1"/>
  <c r="K23" i="65"/>
  <c r="K32" i="65" s="1"/>
  <c r="D23" i="67"/>
  <c r="K23" i="64"/>
  <c r="K32" i="64" s="1"/>
  <c r="K73" i="64" s="1"/>
  <c r="C23" i="67"/>
  <c r="J23" i="65"/>
  <c r="J32" i="65" s="1"/>
  <c r="J23" i="64"/>
  <c r="J32" i="64" s="1"/>
  <c r="J73" i="64" s="1"/>
  <c r="F22" i="67"/>
  <c r="M22" i="65"/>
  <c r="M31" i="65" s="1"/>
  <c r="M22" i="64"/>
  <c r="M31" i="64" s="1"/>
  <c r="M72" i="64" s="1"/>
  <c r="N23" i="65"/>
  <c r="N32" i="65" s="1"/>
  <c r="N23" i="64"/>
  <c r="N32" i="64" s="1"/>
  <c r="N73" i="64" s="1"/>
  <c r="G23" i="67"/>
  <c r="L23" i="64"/>
  <c r="L32" i="64" s="1"/>
  <c r="L73" i="64" s="1"/>
  <c r="L23" i="65"/>
  <c r="L32" i="65" s="1"/>
  <c r="E23" i="67"/>
  <c r="N75" i="64"/>
  <c r="N87" i="64"/>
  <c r="N45" i="64"/>
  <c r="L87" i="64"/>
  <c r="L75" i="64"/>
  <c r="L45" i="64"/>
  <c r="J87" i="64"/>
  <c r="J45" i="64"/>
  <c r="J75" i="64"/>
  <c r="K87" i="64"/>
  <c r="K75" i="64"/>
  <c r="K45" i="64"/>
  <c r="I87" i="64"/>
  <c r="I75" i="64"/>
  <c r="I45" i="64"/>
  <c r="M87" i="64"/>
  <c r="M75" i="64"/>
  <c r="M45" i="64"/>
  <c r="N24" i="65"/>
  <c r="N33" i="65" s="1"/>
  <c r="N86" i="65" s="1"/>
  <c r="N24" i="64"/>
  <c r="N33" i="64" s="1"/>
  <c r="G24" i="67"/>
  <c r="M24" i="65"/>
  <c r="M33" i="65" s="1"/>
  <c r="M86" i="65" s="1"/>
  <c r="M24" i="64"/>
  <c r="M33" i="64" s="1"/>
  <c r="F24" i="67"/>
  <c r="K24" i="64"/>
  <c r="K33" i="64" s="1"/>
  <c r="D24" i="67"/>
  <c r="K24" i="65"/>
  <c r="K33" i="65" s="1"/>
  <c r="K86" i="65" s="1"/>
  <c r="E24" i="67"/>
  <c r="L24" i="65"/>
  <c r="L33" i="65" s="1"/>
  <c r="L86" i="65" s="1"/>
  <c r="L24" i="64"/>
  <c r="L33" i="64" s="1"/>
  <c r="J24" i="64"/>
  <c r="J33" i="64" s="1"/>
  <c r="C24" i="67"/>
  <c r="J24" i="65"/>
  <c r="J33" i="65" s="1"/>
  <c r="J86" i="65" s="1"/>
  <c r="I24" i="64"/>
  <c r="I33" i="64" s="1"/>
  <c r="B24" i="67"/>
  <c r="I24" i="65"/>
  <c r="I33" i="65" s="1"/>
  <c r="I86" i="65" s="1"/>
  <c r="I105" i="1"/>
  <c r="M15" i="66" l="1"/>
  <c r="M56" i="66" s="1"/>
  <c r="L15" i="66"/>
  <c r="L56" i="66" s="1"/>
  <c r="J15" i="66"/>
  <c r="J56" i="66" s="1"/>
  <c r="K15" i="66"/>
  <c r="K56" i="66" s="1"/>
  <c r="N15" i="66"/>
  <c r="N26" i="66" s="1"/>
  <c r="E33" i="67"/>
  <c r="F33" i="67"/>
  <c r="B33" i="67"/>
  <c r="D32" i="67"/>
  <c r="C33" i="67"/>
  <c r="F31" i="67"/>
  <c r="F32" i="67"/>
  <c r="B32" i="67"/>
  <c r="G31" i="67"/>
  <c r="E32" i="67"/>
  <c r="D33" i="67"/>
  <c r="G33" i="67"/>
  <c r="G32" i="67"/>
  <c r="C32" i="67"/>
  <c r="C31" i="67"/>
  <c r="C98" i="65"/>
  <c r="D98" i="65" s="1"/>
  <c r="C83" i="66" s="1"/>
  <c r="L22" i="65"/>
  <c r="L31" i="65" s="1"/>
  <c r="L72" i="65" s="1"/>
  <c r="L22" i="64"/>
  <c r="L31" i="64" s="1"/>
  <c r="E22" i="67"/>
  <c r="L85" i="64"/>
  <c r="L43" i="64"/>
  <c r="N43" i="65"/>
  <c r="N85" i="65"/>
  <c r="K85" i="65"/>
  <c r="K43" i="65"/>
  <c r="N84" i="64"/>
  <c r="N42" i="64"/>
  <c r="I85" i="64"/>
  <c r="I43" i="64"/>
  <c r="J84" i="64"/>
  <c r="J42" i="64"/>
  <c r="K22" i="65"/>
  <c r="K31" i="65" s="1"/>
  <c r="K72" i="65" s="1"/>
  <c r="K22" i="64"/>
  <c r="K31" i="64" s="1"/>
  <c r="D22" i="67"/>
  <c r="J85" i="64"/>
  <c r="J43" i="64"/>
  <c r="K85" i="64"/>
  <c r="K43" i="64"/>
  <c r="B22" i="67"/>
  <c r="I22" i="65"/>
  <c r="I31" i="65" s="1"/>
  <c r="I72" i="65" s="1"/>
  <c r="I22" i="64"/>
  <c r="I31" i="64" s="1"/>
  <c r="I103" i="1"/>
  <c r="M85" i="65"/>
  <c r="M43" i="65"/>
  <c r="N84" i="65"/>
  <c r="N42" i="65"/>
  <c r="I85" i="65"/>
  <c r="I43" i="65"/>
  <c r="J84" i="65"/>
  <c r="J42" i="65"/>
  <c r="M84" i="64"/>
  <c r="M42" i="64"/>
  <c r="M85" i="64"/>
  <c r="M43" i="64"/>
  <c r="L85" i="65"/>
  <c r="L43" i="65"/>
  <c r="N85" i="64"/>
  <c r="N43" i="64"/>
  <c r="M84" i="65"/>
  <c r="M42" i="65"/>
  <c r="J43" i="65"/>
  <c r="J85" i="65"/>
  <c r="C99" i="64"/>
  <c r="I15" i="66"/>
  <c r="I44" i="65"/>
  <c r="I73" i="65"/>
  <c r="I74" i="65"/>
  <c r="J44" i="65"/>
  <c r="J72" i="65"/>
  <c r="J74" i="65"/>
  <c r="J73" i="65"/>
  <c r="L74" i="64"/>
  <c r="L86" i="64"/>
  <c r="L44" i="64"/>
  <c r="K73" i="65"/>
  <c r="K74" i="65"/>
  <c r="K44" i="65"/>
  <c r="M86" i="64"/>
  <c r="M74" i="64"/>
  <c r="M44" i="64"/>
  <c r="I86" i="64"/>
  <c r="I74" i="64"/>
  <c r="I44" i="64"/>
  <c r="L74" i="65"/>
  <c r="L44" i="65"/>
  <c r="L73" i="65"/>
  <c r="N86" i="64"/>
  <c r="N74" i="64"/>
  <c r="N44" i="64"/>
  <c r="J44" i="64"/>
  <c r="J74" i="64"/>
  <c r="J86" i="64"/>
  <c r="K74" i="64"/>
  <c r="K44" i="64"/>
  <c r="K86" i="64"/>
  <c r="M72" i="65"/>
  <c r="M74" i="65"/>
  <c r="M73" i="65"/>
  <c r="M44" i="65"/>
  <c r="N44" i="65"/>
  <c r="N73" i="65"/>
  <c r="N74" i="65"/>
  <c r="N72" i="65"/>
  <c r="I102" i="1"/>
  <c r="J26" i="66" l="1"/>
  <c r="M26" i="66"/>
  <c r="N56" i="66"/>
  <c r="K26" i="66"/>
  <c r="L26" i="66"/>
  <c r="M14" i="66"/>
  <c r="M55" i="66" s="1"/>
  <c r="L14" i="66"/>
  <c r="J14" i="66"/>
  <c r="J55" i="66" s="1"/>
  <c r="K14" i="66"/>
  <c r="K55" i="66" s="1"/>
  <c r="N14" i="66"/>
  <c r="N55" i="66" s="1"/>
  <c r="B31" i="67"/>
  <c r="E31" i="67"/>
  <c r="D31" i="67"/>
  <c r="E98" i="65"/>
  <c r="I26" i="66"/>
  <c r="I56" i="66"/>
  <c r="N13" i="66"/>
  <c r="M13" i="66"/>
  <c r="K13" i="66"/>
  <c r="I42" i="64"/>
  <c r="I84" i="64"/>
  <c r="I72" i="64"/>
  <c r="M12" i="66"/>
  <c r="I84" i="65"/>
  <c r="I42" i="65"/>
  <c r="K84" i="64"/>
  <c r="K42" i="64"/>
  <c r="K72" i="64"/>
  <c r="J12" i="66"/>
  <c r="N12" i="66"/>
  <c r="L84" i="64"/>
  <c r="L42" i="64"/>
  <c r="L72" i="64"/>
  <c r="C97" i="65"/>
  <c r="L42" i="65"/>
  <c r="L84" i="65"/>
  <c r="J13" i="66"/>
  <c r="K84" i="65"/>
  <c r="K42" i="65"/>
  <c r="C97" i="64"/>
  <c r="I13" i="66"/>
  <c r="L13" i="66"/>
  <c r="C70" i="66"/>
  <c r="D70" i="66" s="1"/>
  <c r="D99" i="64"/>
  <c r="I14" i="66"/>
  <c r="C98" i="64"/>
  <c r="J25" i="66" l="1"/>
  <c r="L25" i="66"/>
  <c r="M25" i="66"/>
  <c r="K25" i="66"/>
  <c r="L55" i="66"/>
  <c r="N25" i="66"/>
  <c r="E70" i="66"/>
  <c r="D97" i="65"/>
  <c r="C82" i="66" s="1"/>
  <c r="K54" i="66"/>
  <c r="N53" i="66"/>
  <c r="M54" i="66"/>
  <c r="M53" i="66"/>
  <c r="L54" i="66"/>
  <c r="I55" i="66"/>
  <c r="I54" i="66"/>
  <c r="J54" i="66"/>
  <c r="J53" i="66"/>
  <c r="N54" i="66"/>
  <c r="I25" i="66"/>
  <c r="L24" i="66"/>
  <c r="N23" i="66"/>
  <c r="M24" i="66"/>
  <c r="I24" i="66"/>
  <c r="J24" i="66"/>
  <c r="J23" i="66"/>
  <c r="N24" i="66"/>
  <c r="M23" i="66"/>
  <c r="K24" i="66"/>
  <c r="L12" i="66"/>
  <c r="K12" i="66"/>
  <c r="C96" i="64"/>
  <c r="I12" i="66"/>
  <c r="C68" i="66"/>
  <c r="D68" i="66" s="1"/>
  <c r="E68" i="66" s="1"/>
  <c r="D97" i="64"/>
  <c r="B82" i="66" s="1"/>
  <c r="C96" i="65"/>
  <c r="E99" i="64"/>
  <c r="B84" i="66"/>
  <c r="C69" i="66"/>
  <c r="D69" i="66" s="1"/>
  <c r="D98" i="64"/>
  <c r="B83" i="66" s="1"/>
  <c r="E97" i="65" l="1"/>
  <c r="D83" i="66"/>
  <c r="E69" i="66"/>
  <c r="D84" i="66"/>
  <c r="D82" i="66"/>
  <c r="D96" i="65"/>
  <c r="I53" i="66"/>
  <c r="L53" i="66"/>
  <c r="K53" i="66"/>
  <c r="L23" i="66"/>
  <c r="K23" i="66"/>
  <c r="I23" i="66"/>
  <c r="C67" i="66"/>
  <c r="D67" i="66" s="1"/>
  <c r="E67" i="66" s="1"/>
  <c r="D96" i="64"/>
  <c r="B81" i="66" s="1"/>
  <c r="E97" i="64"/>
  <c r="E98" i="64"/>
  <c r="E96" i="65" l="1"/>
  <c r="C81" i="66"/>
  <c r="E82" i="66"/>
  <c r="E83" i="66"/>
  <c r="E84" i="66"/>
  <c r="E96" i="64"/>
  <c r="D81" i="66" l="1"/>
  <c r="E81" i="66" l="1"/>
  <c r="B21" i="67"/>
  <c r="I21" i="65"/>
  <c r="I30" i="65" s="1"/>
  <c r="C108" i="1"/>
  <c r="I21" i="64"/>
  <c r="I30" i="64" s="1"/>
  <c r="B30" i="67" l="1"/>
  <c r="D21" i="67"/>
  <c r="K21" i="64"/>
  <c r="K30" i="64" s="1"/>
  <c r="K21" i="65"/>
  <c r="K30" i="65" s="1"/>
  <c r="E108" i="1"/>
  <c r="I83" i="65"/>
  <c r="I82" i="65"/>
  <c r="I71" i="65"/>
  <c r="F21" i="67"/>
  <c r="M21" i="64"/>
  <c r="M30" i="64" s="1"/>
  <c r="M21" i="65"/>
  <c r="M30" i="65" s="1"/>
  <c r="G108" i="1"/>
  <c r="C21" i="67"/>
  <c r="D108" i="1"/>
  <c r="J21" i="65"/>
  <c r="J30" i="65" s="1"/>
  <c r="J21" i="64"/>
  <c r="J30" i="64" s="1"/>
  <c r="I71" i="64"/>
  <c r="I83" i="64"/>
  <c r="I82" i="64"/>
  <c r="I101" i="1"/>
  <c r="G21" i="67"/>
  <c r="N21" i="65"/>
  <c r="N30" i="65" s="1"/>
  <c r="N21" i="64"/>
  <c r="N30" i="64" s="1"/>
  <c r="H108" i="1"/>
  <c r="L21" i="64"/>
  <c r="L30" i="64" s="1"/>
  <c r="L21" i="65"/>
  <c r="L30" i="65" s="1"/>
  <c r="F108" i="1"/>
  <c r="E21" i="67"/>
  <c r="D30" i="67" l="1"/>
  <c r="C30" i="67"/>
  <c r="F30" i="67"/>
  <c r="G30" i="67"/>
  <c r="E30" i="67"/>
  <c r="J41" i="65"/>
  <c r="N82" i="65"/>
  <c r="N41" i="65"/>
  <c r="N71" i="65"/>
  <c r="N83" i="65"/>
  <c r="L82" i="65"/>
  <c r="L71" i="65"/>
  <c r="L83" i="65"/>
  <c r="L41" i="65"/>
  <c r="N83" i="64"/>
  <c r="N41" i="64"/>
  <c r="N82" i="64"/>
  <c r="N71" i="64"/>
  <c r="I108" i="1"/>
  <c r="M71" i="64"/>
  <c r="M82" i="64"/>
  <c r="M41" i="64"/>
  <c r="M83" i="64"/>
  <c r="K41" i="65"/>
  <c r="K83" i="65"/>
  <c r="K71" i="65"/>
  <c r="K82" i="65"/>
  <c r="I10" i="66"/>
  <c r="K82" i="64"/>
  <c r="K71" i="64"/>
  <c r="K83" i="64"/>
  <c r="K41" i="64"/>
  <c r="L41" i="64"/>
  <c r="L71" i="64"/>
  <c r="L83" i="64"/>
  <c r="L82" i="64"/>
  <c r="I41" i="64"/>
  <c r="J71" i="65"/>
  <c r="J82" i="65"/>
  <c r="J83" i="65"/>
  <c r="I41" i="65"/>
  <c r="J83" i="64"/>
  <c r="J71" i="64"/>
  <c r="J41" i="64"/>
  <c r="J82" i="64"/>
  <c r="I11" i="66"/>
  <c r="M41" i="65"/>
  <c r="M71" i="65"/>
  <c r="M83" i="65"/>
  <c r="M82" i="65"/>
  <c r="C94" i="65" l="1"/>
  <c r="D94" i="65" s="1"/>
  <c r="I52" i="66"/>
  <c r="L11" i="66"/>
  <c r="C95" i="64"/>
  <c r="D95" i="64" s="1"/>
  <c r="K11" i="66"/>
  <c r="N11" i="66"/>
  <c r="L10" i="66"/>
  <c r="M11" i="66"/>
  <c r="C95" i="65"/>
  <c r="D95" i="65" s="1"/>
  <c r="N10" i="66"/>
  <c r="J10" i="66"/>
  <c r="K10" i="66"/>
  <c r="C94" i="64"/>
  <c r="J11" i="66"/>
  <c r="M10" i="66"/>
  <c r="C79" i="66" l="1"/>
  <c r="E94" i="65"/>
  <c r="K52" i="66"/>
  <c r="M52" i="66"/>
  <c r="L52" i="66"/>
  <c r="J52" i="66"/>
  <c r="L22" i="66"/>
  <c r="N52" i="66"/>
  <c r="J22" i="66"/>
  <c r="I22" i="66"/>
  <c r="N22" i="66"/>
  <c r="K22" i="66"/>
  <c r="M22" i="66"/>
  <c r="C66" i="66"/>
  <c r="D66" i="66" s="1"/>
  <c r="E66" i="66" s="1"/>
  <c r="C101" i="65"/>
  <c r="D94" i="64"/>
  <c r="C65" i="66"/>
  <c r="C101" i="64"/>
  <c r="D101" i="64" s="1"/>
  <c r="B80" i="66"/>
  <c r="E95" i="64"/>
  <c r="E95" i="65"/>
  <c r="C80" i="66"/>
  <c r="C86" i="66" l="1"/>
  <c r="D80" i="66"/>
  <c r="D101" i="65"/>
  <c r="E101" i="64"/>
  <c r="D102" i="64"/>
  <c r="D65" i="66"/>
  <c r="E65" i="66" s="1"/>
  <c r="C72" i="66"/>
  <c r="D72" i="66" s="1"/>
  <c r="B79" i="66"/>
  <c r="E94" i="64"/>
  <c r="E80" i="66" l="1"/>
  <c r="D79" i="66"/>
  <c r="E101" i="65"/>
  <c r="E72" i="66"/>
  <c r="D73" i="66"/>
  <c r="B86" i="66"/>
  <c r="E79" i="66" l="1"/>
  <c r="D86" i="66"/>
  <c r="E86" i="66" l="1"/>
</calcChain>
</file>

<file path=xl/sharedStrings.xml><?xml version="1.0" encoding="utf-8"?>
<sst xmlns="http://schemas.openxmlformats.org/spreadsheetml/2006/main" count="949" uniqueCount="165">
  <si>
    <t>DATOS DE ENTRADA</t>
  </si>
  <si>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</si>
  <si>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</si>
  <si>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</si>
  <si>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</si>
  <si>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</si>
  <si>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</si>
  <si>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</si>
  <si>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</si>
  <si>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</si>
  <si>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Fuente: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</si>
  <si>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</si>
  <si>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</si>
  <si>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</si>
  <si>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</si>
  <si>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</si>
  <si>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</si>
  <si>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</si>
  <si>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</si>
  <si>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</si>
  <si>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</si>
  <si>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</si>
  <si>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</si>
  <si>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</si>
  <si>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</si>
  <si>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</si>
  <si>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</si>
  <si>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</si>
  <si>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</si>
  <si>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</si>
  <si>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Ingresos de generadores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</si>
  <si>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</si>
  <si>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</si>
  <si>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 xml:space="preserve">Retribución definitiva transporte 2008-2011 </t>
  </si>
  <si>
    <t>Incentivo a la disponibilidad</t>
  </si>
  <si>
    <t>Retribución Inversión, O&amp;M y OTD</t>
  </si>
  <si>
    <t>Previsión CNMC</t>
  </si>
  <si>
    <t>Asignación 2020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</si>
  <si>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</si>
  <si>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</si>
  <si>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</si>
  <si>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</si>
  <si>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</si>
  <si>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</si>
  <si>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</si>
  <si>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</si>
  <si>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</si>
  <si>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</si>
  <si>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</si>
  <si>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</si>
  <si>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</si>
  <si>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</si>
  <si>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</si>
  <si>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</si>
  <si>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Balances de energía. Calendario Circular CNMC. Año 2018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</si>
  <si>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</si>
  <si>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</si>
  <si>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</si>
  <si>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</si>
  <si>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</si>
  <si>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</si>
  <si>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</si>
  <si>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</si>
  <si>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</si>
  <si>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</si>
  <si>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</si>
  <si>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</si>
  <si>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</si>
  <si>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</si>
  <si>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</si>
  <si>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</si>
  <si>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</si>
  <si>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</si>
  <si>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</si>
  <si>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</si>
  <si>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</si>
  <si>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</si>
  <si>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</si>
  <si>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</si>
  <si>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</si>
  <si>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</si>
  <si>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</si>
  <si>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</si>
  <si>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Coeficientes de asignación de la retribución de cada nivel tarifario y periodo al término de potencia del propio nivel de tensión y niveles de tensión inferiores, según calendario propuesto por la CNMC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</si>
  <si>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</si>
  <si>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</si>
  <si>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</si>
  <si>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</si>
  <si>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</si>
  <si>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</si>
  <si>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Balances de potencia. Calendario Circular CNMC. Año 2018</t>
  </si>
  <si>
    <t>Coeficientes de asignación de la retribución de cada nivel tarifario y periodo al término de energía del propio nivel de tensión y niveles de tensión inferiores, según calendario propuesto por la CNMC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</si>
  <si>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</si>
  <si>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</si>
  <si>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</si>
  <si>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</si>
  <si>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</si>
  <si>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I. Asignación de la retribución que se debe recuperar a través de los peajes por nivel de tensión</t>
  </si>
  <si>
    <t>II. Asignación de la retribución de cada nivel de tensión a los términos de potencia y energía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</si>
  <si>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</si>
  <si>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</si>
  <si>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</si>
  <si>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</si>
  <si>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</si>
  <si>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III. Asignación de la retribución de cada nivel de tensión y término de facturación por periodo horario</t>
  </si>
  <si>
    <t>Asignación del coste del nivel de tensión por periodo tarifario</t>
  </si>
  <si>
    <t>Periodo horario</t>
  </si>
  <si>
    <t>III.A  Asignación de la retribución de cada nivel de tensión que se recupera por el término de potencia por periodo horario</t>
  </si>
  <si>
    <t>Participación de cada periodo en las H primeras horas de la monótona</t>
  </si>
  <si>
    <t>IV. Asignación de la retribución de cada nivel de tensión a recuperar por  término de facturación y periodo al propio nivel de tensión y a niveles de tensión inferiores</t>
  </si>
  <si>
    <t>IV.A Asignación de la retribución de cada nivel de tensión a recuperar por el término de energía y periodo al propio nivel de tensión y a niveles de tensión inferiores</t>
  </si>
  <si>
    <t>IV.A Asignación de la retribución de cada nivel de tensión a recuperar por el término de potencia y periodo al propio nivel de tensión y a niveles de tensión inferiores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</si>
  <si>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</si>
  <si>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</si>
  <si>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</si>
  <si>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</si>
  <si>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</si>
  <si>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</si>
  <si>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</si>
  <si>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</si>
  <si>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</si>
  <si>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</si>
  <si>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</si>
  <si>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</si>
  <si>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</si>
  <si>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</si>
  <si>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</si>
  <si>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</si>
  <si>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III.B  Asignación de la retribución de cada nivel de tensión que se recupera por el término de energía por periodo horario</t>
  </si>
  <si>
    <t>Coste unitario a recuperar con cargo al término de energía de los peajes en cada periodo horario (€/kWh) (A)/(B)</t>
  </si>
  <si>
    <t>Energía consumida por periodo horario (MWh) (B)</t>
  </si>
  <si>
    <t>1. Determinación de los peajes de transporte</t>
  </si>
  <si>
    <t>2. Relación de precios respecto del periodo 6</t>
  </si>
  <si>
    <t>3. Relación de precios respecto del nivel de tensión 4</t>
  </si>
  <si>
    <t>Fuente: Circular 4/2015, de 22 de julio, de la CNMC</t>
  </si>
  <si>
    <t>Fuente: Circular 3/2014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</si>
  <si>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</si>
  <si>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</si>
  <si>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</si>
  <si>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</si>
  <si>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</si>
  <si>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Fuente: Curvas de carga del sistema peninular, balances de energía, y calendario propuesta Circular para el ejercicio 2018</t>
  </si>
  <si>
    <t>4. Diseño de precios</t>
  </si>
  <si>
    <t>Término de potencia de los peajes (€/kW año)</t>
  </si>
  <si>
    <t>Término de energía de los peajes (€/kWh)</t>
  </si>
  <si>
    <t>5. Facturación por peaje de transporte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</si>
  <si>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</si>
  <si>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</si>
  <si>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</si>
  <si>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1. Determinación de los peajes de distribución</t>
  </si>
  <si>
    <t>3. Relación de precios respecto del nivel de tensión 3</t>
  </si>
  <si>
    <t>5. Facturación por peaje de distribución</t>
  </si>
  <si>
    <t>1. Peajes de transporte y distribución</t>
  </si>
  <si>
    <t>Facturación peaje de T&amp;D (miles €)</t>
  </si>
  <si>
    <t xml:space="preserve">Distribución </t>
  </si>
  <si>
    <t>% transporte sobre total</t>
  </si>
  <si>
    <t>1. Determinación de los peajes de aplicación al autoconsumo de proximidad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</si>
  <si>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</si>
  <si>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</si>
  <si>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</si>
  <si>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</si>
  <si>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</si>
  <si>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</si>
  <si>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Fuente: Propuesta Circular retribución del transporte, con escalón en la tasa de retribución financiera</t>
  </si>
  <si>
    <t>Fuente: Propuesta Circular retribución de la distribución, con escalón en la tasa de retribución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</si>
</sst>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#,##0_ ;\-#,##0\ "/>
    <numFmt numFmtId="167" formatCode="0.0%"/>
    <numFmt numFmtId="168" formatCode="#,##0.000"/>
    <numFmt numFmtId="169" formatCode="_-\ #,##0\ _€_-;\-\ #,##0\ _€_-;_-\ &quot;-&quot;??\ _€_-;_-@_-"/>
    <numFmt numFmtId="170" formatCode="_-* #,##0\ _€_-;\-* #,##0\ _€_-;_-* &quot;-&quot;??\ _€_-;_-@_-"/>
    <numFmt numFmtId="171" formatCode="[$-C0A]mmm\-yy;@"/>
    <numFmt numFmtId="172" formatCode="_-* #,##0.0\ _P_t_a_-;\-* #,##0.0\ _P_t_a_-;_-* &quot;-&quot;\ _P_t_a_-;_-@_-"/>
    <numFmt numFmtId="173" formatCode="_-* #,##0.000\ _P_t_a_-;\-* #,##0.000\ _P_t_a_-;_-* &quot;-&quot;??\ _P_t_a_-;_-@_-"/>
    <numFmt numFmtId="174" formatCode="#,##0.00000"/>
    <numFmt numFmtId="175" formatCode="_-* #,##0.00000\ _P_t_a_-;\-* #,##0.00000\ _P_t_a_-;_-* &quot;-&quot;??\ _P_t_a_-;_-@_-"/>
    <numFmt numFmtId="176" formatCode="_-* #,##0.0000\ _€_-;\-* #,##0.0000\ _€_-;_-* &quot;-&quot;??\ _€_-;_-@_-"/>
    <numFmt numFmtId="177" formatCode="_-* #,##0\ _€_-;\-* #,##0\ _€_-;_-* &quot;-&quot;????\ _€_-;_-@_-"/>
    <numFmt numFmtId="178" formatCode="_-* #,##0.0\ _P_t_a_-;\-* #,##0.0\ _P_t_a_-;_-* &quot;-&quot;??\ _P_t_a_-;_-@_-"/>
    <numFmt numFmtId="179" formatCode="_-* #,##0.000000\ _€_-;\-* #,##0.000000\ _€_-;_-* &quot;-&quot;??\ _€_-;_-@_-"/>
    <numFmt numFmtId="180" formatCode="_-* #,##0\ _P_t_a_-;\-* #,##0\ _P_t_a_-;_-* &quot;-&quot;??\ _P_t_a_-;_-@_-"/>
    <numFmt numFmtId="181" formatCode="_-* #,##0.0000\ _€_-;\-* #,##0.0000\ _€_-;_-* &quot;-&quot;????\ _€_-;_-@_-"/>
  </numFmts>
  <fonts count="6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i/>
      <u/>
      <sz val="15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</borders>
  <cellStyleXfs count="315">
    <xf numFmtId="0" fontId="0" fillId="0" borderId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165" fontId="2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171" fontId="11" fillId="0" borderId="0" applyFont="0" applyFill="0" applyBorder="0" applyAlignment="0" applyProtection="0"/>
    <xf numFmtId="3" fontId="29" fillId="17" borderId="0"/>
    <xf numFmtId="3" fontId="30" fillId="17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11" fillId="0" borderId="0"/>
    <xf numFmtId="171" fontId="11" fillId="0" borderId="0"/>
    <xf numFmtId="0" fontId="1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171" fontId="8" fillId="4" borderId="6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33" fillId="0" borderId="0" applyFont="0" applyFill="0" applyBorder="0" applyAlignment="0" applyProtection="0"/>
    <xf numFmtId="171" fontId="11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1" fillId="20" borderId="0" applyNumberFormat="0" applyBorder="0" applyAlignment="0" applyProtection="0"/>
    <xf numFmtId="171" fontId="31" fillId="21" borderId="0" applyNumberFormat="0" applyBorder="0" applyAlignment="0" applyProtection="0"/>
    <xf numFmtId="171" fontId="31" fillId="22" borderId="0" applyNumberFormat="0" applyBorder="0" applyAlignment="0" applyProtection="0"/>
    <xf numFmtId="171" fontId="31" fillId="23" borderId="0" applyNumberFormat="0" applyBorder="0" applyAlignment="0" applyProtection="0"/>
    <xf numFmtId="171" fontId="31" fillId="24" borderId="0" applyNumberFormat="0" applyBorder="0" applyAlignment="0" applyProtection="0"/>
    <xf numFmtId="171" fontId="31" fillId="25" borderId="0" applyNumberFormat="0" applyBorder="0" applyAlignment="0" applyProtection="0"/>
    <xf numFmtId="171" fontId="31" fillId="26" borderId="0" applyNumberFormat="0" applyBorder="0" applyAlignment="0" applyProtection="0"/>
    <xf numFmtId="171" fontId="31" fillId="27" borderId="0" applyNumberFormat="0" applyBorder="0" applyAlignment="0" applyProtection="0"/>
    <xf numFmtId="171" fontId="31" fillId="28" borderId="0" applyNumberFormat="0" applyBorder="0" applyAlignment="0" applyProtection="0"/>
    <xf numFmtId="171" fontId="31" fillId="23" borderId="0" applyNumberFormat="0" applyBorder="0" applyAlignment="0" applyProtection="0"/>
    <xf numFmtId="171" fontId="31" fillId="26" borderId="0" applyNumberFormat="0" applyBorder="0" applyAlignment="0" applyProtection="0"/>
    <xf numFmtId="171" fontId="31" fillId="29" borderId="0" applyNumberFormat="0" applyBorder="0" applyAlignment="0" applyProtection="0"/>
    <xf numFmtId="171" fontId="34" fillId="30" borderId="0" applyNumberFormat="0" applyBorder="0" applyAlignment="0" applyProtection="0"/>
    <xf numFmtId="171" fontId="34" fillId="27" borderId="0" applyNumberFormat="0" applyBorder="0" applyAlignment="0" applyProtection="0"/>
    <xf numFmtId="171" fontId="34" fillId="28" borderId="0" applyNumberFormat="0" applyBorder="0" applyAlignment="0" applyProtection="0"/>
    <xf numFmtId="171" fontId="34" fillId="31" borderId="0" applyNumberFormat="0" applyBorder="0" applyAlignment="0" applyProtection="0"/>
    <xf numFmtId="171" fontId="34" fillId="32" borderId="0" applyNumberFormat="0" applyBorder="0" applyAlignment="0" applyProtection="0"/>
    <xf numFmtId="171" fontId="34" fillId="33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37" borderId="0" applyNumberFormat="0" applyBorder="0" applyAlignment="0" applyProtection="0"/>
    <xf numFmtId="171" fontId="31" fillId="38" borderId="0" applyNumberFormat="0" applyBorder="0" applyAlignment="0" applyProtection="0"/>
    <xf numFmtId="171" fontId="31" fillId="39" borderId="0" applyNumberFormat="0" applyBorder="0" applyAlignment="0" applyProtection="0"/>
    <xf numFmtId="171" fontId="34" fillId="40" borderId="0" applyNumberFormat="0" applyBorder="0" applyAlignment="0" applyProtection="0"/>
    <xf numFmtId="171" fontId="34" fillId="40" borderId="0" applyNumberFormat="0" applyBorder="0" applyAlignment="0" applyProtection="0"/>
    <xf numFmtId="171" fontId="31" fillId="38" borderId="0" applyNumberFormat="0" applyBorder="0" applyAlignment="0" applyProtection="0"/>
    <xf numFmtId="171" fontId="31" fillId="41" borderId="0" applyNumberFormat="0" applyBorder="0" applyAlignment="0" applyProtection="0"/>
    <xf numFmtId="171" fontId="34" fillId="39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9" borderId="0" applyNumberFormat="0" applyBorder="0" applyAlignment="0" applyProtection="0"/>
    <xf numFmtId="171" fontId="34" fillId="39" borderId="0" applyNumberFormat="0" applyBorder="0" applyAlignment="0" applyProtection="0"/>
    <xf numFmtId="171" fontId="34" fillId="42" borderId="0" applyNumberFormat="0" applyBorder="0" applyAlignment="0" applyProtection="0"/>
    <xf numFmtId="171" fontId="31" fillId="43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44" borderId="0" applyNumberFormat="0" applyBorder="0" applyAlignment="0" applyProtection="0"/>
    <xf numFmtId="171" fontId="31" fillId="38" borderId="0" applyNumberFormat="0" applyBorder="0" applyAlignment="0" applyProtection="0"/>
    <xf numFmtId="171" fontId="31" fillId="45" borderId="0" applyNumberFormat="0" applyBorder="0" applyAlignment="0" applyProtection="0"/>
    <xf numFmtId="171" fontId="34" fillId="45" borderId="0" applyNumberFormat="0" applyBorder="0" applyAlignment="0" applyProtection="0"/>
    <xf numFmtId="171" fontId="35" fillId="46" borderId="0" applyNumberFormat="0" applyBorder="0" applyAlignment="0" applyProtection="0"/>
    <xf numFmtId="171" fontId="36" fillId="47" borderId="75" applyNumberFormat="0" applyAlignment="0" applyProtection="0"/>
    <xf numFmtId="171" fontId="37" fillId="40" borderId="76" applyNumberFormat="0" applyAlignment="0" applyProtection="0"/>
    <xf numFmtId="171" fontId="38" fillId="48" borderId="0" applyNumberFormat="0" applyBorder="0" applyAlignment="0" applyProtection="0"/>
    <xf numFmtId="171" fontId="38" fillId="49" borderId="0" applyNumberFormat="0" applyBorder="0" applyAlignment="0" applyProtection="0"/>
    <xf numFmtId="171" fontId="38" fillId="50" borderId="0" applyNumberFormat="0" applyBorder="0" applyAlignment="0" applyProtection="0"/>
    <xf numFmtId="171" fontId="39" fillId="0" borderId="0" applyNumberFormat="0" applyFill="0" applyBorder="0" applyAlignment="0" applyProtection="0"/>
    <xf numFmtId="171" fontId="40" fillId="41" borderId="0" applyNumberFormat="0" applyBorder="0" applyAlignment="0" applyProtection="0"/>
    <xf numFmtId="171" fontId="41" fillId="0" borderId="77" applyNumberFormat="0" applyFill="0" applyAlignment="0" applyProtection="0"/>
    <xf numFmtId="171" fontId="42" fillId="0" borderId="78" applyNumberFormat="0" applyFill="0" applyAlignment="0" applyProtection="0"/>
    <xf numFmtId="171" fontId="43" fillId="0" borderId="79" applyNumberFormat="0" applyFill="0" applyAlignment="0" applyProtection="0"/>
    <xf numFmtId="171" fontId="43" fillId="0" borderId="0" applyNumberFormat="0" applyFill="0" applyBorder="0" applyAlignment="0" applyProtection="0"/>
    <xf numFmtId="171" fontId="44" fillId="45" borderId="75" applyNumberFormat="0" applyAlignment="0" applyProtection="0"/>
    <xf numFmtId="171" fontId="45" fillId="0" borderId="80" applyNumberFormat="0" applyFill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/>
    <xf numFmtId="171" fontId="11" fillId="38" borderId="74" applyNumberFormat="0" applyFont="0" applyAlignment="0" applyProtection="0"/>
    <xf numFmtId="171" fontId="46" fillId="47" borderId="81" applyNumberFormat="0" applyAlignment="0" applyProtection="0"/>
    <xf numFmtId="9" fontId="11" fillId="0" borderId="0" applyFont="0" applyFill="0" applyBorder="0" applyAlignment="0" applyProtection="0"/>
    <xf numFmtId="171" fontId="47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171" fontId="49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13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7" fontId="0" fillId="0" borderId="21" xfId="3" applyNumberFormat="1" applyFont="1" applyBorder="1" applyAlignment="1">
      <alignment vertical="center"/>
    </xf>
    <xf numFmtId="167" fontId="0" fillId="0" borderId="22" xfId="3" applyNumberFormat="1" applyFont="1" applyBorder="1" applyAlignment="1">
      <alignment vertical="center"/>
    </xf>
    <xf numFmtId="167" fontId="0" fillId="0" borderId="23" xfId="3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4" fillId="3" borderId="7" xfId="0" applyFont="1" applyFill="1" applyBorder="1" applyAlignment="1">
      <alignment horizontal="centerContinuous" vertical="center" wrapText="1"/>
    </xf>
    <xf numFmtId="0" fontId="14" fillId="3" borderId="6" xfId="0" applyFont="1" applyFill="1" applyBorder="1" applyAlignment="1">
      <alignment horizontal="centerContinuous" vertical="center" wrapText="1"/>
    </xf>
    <xf numFmtId="0" fontId="14" fillId="3" borderId="8" xfId="0" applyFont="1" applyFill="1" applyBorder="1" applyAlignment="1">
      <alignment horizontal="centerContinuous" vertical="center" wrapText="1"/>
    </xf>
    <xf numFmtId="0" fontId="14" fillId="3" borderId="9" xfId="0" applyFont="1" applyFill="1" applyBorder="1" applyAlignment="1">
      <alignment horizontal="centerContinuous" vertical="center" wrapText="1"/>
    </xf>
    <xf numFmtId="0" fontId="12" fillId="19" borderId="35" xfId="0" applyFont="1" applyFill="1" applyBorder="1" applyAlignment="1">
      <alignment horizontal="center" vertical="center"/>
    </xf>
    <xf numFmtId="167" fontId="12" fillId="19" borderId="20" xfId="3" applyNumberFormat="1" applyFont="1" applyFill="1" applyBorder="1" applyAlignment="1">
      <alignment horizontal="center" vertical="center"/>
    </xf>
    <xf numFmtId="167" fontId="12" fillId="19" borderId="17" xfId="3" applyNumberFormat="1" applyFont="1" applyFill="1" applyBorder="1" applyAlignment="1">
      <alignment horizontal="center" vertical="center"/>
    </xf>
    <xf numFmtId="3" fontId="12" fillId="19" borderId="20" xfId="0" applyNumberFormat="1" applyFont="1" applyFill="1" applyBorder="1" applyAlignment="1">
      <alignment vertical="center"/>
    </xf>
    <xf numFmtId="3" fontId="12" fillId="19" borderId="17" xfId="0" applyNumberFormat="1" applyFont="1" applyFill="1" applyBorder="1" applyAlignment="1">
      <alignment vertical="center"/>
    </xf>
    <xf numFmtId="164" fontId="23" fillId="18" borderId="30" xfId="1" applyFont="1" applyFill="1" applyBorder="1" applyAlignment="1">
      <alignment vertical="center"/>
    </xf>
    <xf numFmtId="167" fontId="0" fillId="0" borderId="18" xfId="3" applyNumberFormat="1" applyFont="1" applyFill="1" applyBorder="1" applyAlignment="1">
      <alignment horizontal="center" vertical="center"/>
    </xf>
    <xf numFmtId="167" fontId="0" fillId="0" borderId="14" xfId="3" applyNumberFormat="1" applyFont="1" applyFill="1" applyBorder="1" applyAlignment="1">
      <alignment horizontal="center" vertical="center"/>
    </xf>
    <xf numFmtId="167" fontId="0" fillId="0" borderId="19" xfId="3" applyNumberFormat="1" applyFont="1" applyFill="1" applyBorder="1" applyAlignment="1">
      <alignment horizontal="center" vertical="center"/>
    </xf>
    <xf numFmtId="167" fontId="0" fillId="0" borderId="15" xfId="3" applyNumberFormat="1" applyFont="1" applyFill="1" applyBorder="1" applyAlignment="1">
      <alignment horizontal="center" vertical="center"/>
    </xf>
    <xf numFmtId="167" fontId="20" fillId="0" borderId="0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12" fillId="19" borderId="17" xfId="3" applyNumberFormat="1" applyFont="1" applyFill="1" applyBorder="1" applyAlignment="1">
      <alignment vertical="center"/>
    </xf>
    <xf numFmtId="172" fontId="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0" fillId="0" borderId="0" xfId="8" applyFont="1"/>
    <xf numFmtId="169" fontId="27" fillId="0" borderId="0" xfId="0" applyNumberFormat="1" applyFont="1"/>
    <xf numFmtId="169" fontId="25" fillId="0" borderId="0" xfId="0" applyNumberFormat="1" applyFont="1" applyAlignment="1">
      <alignment vertical="center"/>
    </xf>
    <xf numFmtId="0" fontId="25" fillId="0" borderId="0" xfId="0" applyFont="1" applyFill="1"/>
    <xf numFmtId="169" fontId="23" fillId="0" borderId="64" xfId="198" applyNumberFormat="1" applyFont="1" applyFill="1" applyBorder="1" applyAlignment="1">
      <alignment vertical="center"/>
    </xf>
    <xf numFmtId="169" fontId="27" fillId="0" borderId="64" xfId="198" applyNumberFormat="1" applyFont="1" applyFill="1" applyBorder="1" applyAlignment="1">
      <alignment horizontal="center" vertical="center"/>
    </xf>
    <xf numFmtId="169" fontId="25" fillId="0" borderId="65" xfId="198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167" fontId="12" fillId="0" borderId="0" xfId="0" applyNumberFormat="1" applyFont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44" xfId="0" applyNumberFormat="1" applyFon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166" fontId="0" fillId="0" borderId="3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2" fillId="19" borderId="53" xfId="0" applyFont="1" applyFill="1" applyBorder="1" applyAlignment="1">
      <alignment horizontal="center" vertical="center"/>
    </xf>
    <xf numFmtId="169" fontId="23" fillId="0" borderId="64" xfId="198" applyNumberFormat="1" applyFont="1" applyFill="1" applyBorder="1" applyAlignment="1">
      <alignment horizontal="center" vertical="center"/>
    </xf>
    <xf numFmtId="169" fontId="32" fillId="3" borderId="30" xfId="198" applyNumberFormat="1" applyFont="1" applyFill="1" applyBorder="1" applyAlignment="1">
      <alignment horizontal="center" vertical="center" wrapText="1"/>
    </xf>
    <xf numFmtId="169" fontId="27" fillId="0" borderId="64" xfId="198" applyNumberFormat="1" applyFont="1" applyFill="1" applyBorder="1" applyAlignment="1">
      <alignment horizontal="right" vertical="center" indent="1"/>
    </xf>
    <xf numFmtId="169" fontId="25" fillId="0" borderId="64" xfId="198" applyNumberFormat="1" applyFont="1" applyFill="1" applyBorder="1" applyAlignment="1">
      <alignment horizontal="right" vertical="center" indent="1"/>
    </xf>
    <xf numFmtId="169" fontId="25" fillId="0" borderId="65" xfId="198" applyNumberFormat="1" applyFont="1" applyFill="1" applyBorder="1" applyAlignment="1">
      <alignment horizontal="right" vertical="center" indent="1"/>
    </xf>
    <xf numFmtId="169" fontId="26" fillId="3" borderId="87" xfId="198" applyNumberFormat="1" applyFont="1" applyFill="1" applyBorder="1" applyAlignment="1">
      <alignment vertical="center"/>
    </xf>
    <xf numFmtId="169" fontId="32" fillId="3" borderId="87" xfId="198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2" fillId="19" borderId="17" xfId="3" applyNumberFormat="1" applyFont="1" applyFill="1" applyBorder="1" applyAlignment="1">
      <alignment horizontal="right" vertical="center" indent="2"/>
    </xf>
    <xf numFmtId="0" fontId="32" fillId="2" borderId="5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Continuous" vertical="center" wrapText="1"/>
    </xf>
    <xf numFmtId="0" fontId="12" fillId="19" borderId="4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3" fontId="0" fillId="0" borderId="92" xfId="0" applyNumberFormat="1" applyFont="1" applyFill="1" applyBorder="1" applyAlignment="1">
      <alignment vertical="center"/>
    </xf>
    <xf numFmtId="3" fontId="0" fillId="0" borderId="93" xfId="0" applyNumberFormat="1" applyFont="1" applyFill="1" applyBorder="1" applyAlignment="1">
      <alignment vertical="center"/>
    </xf>
    <xf numFmtId="10" fontId="0" fillId="0" borderId="92" xfId="3" applyNumberFormat="1" applyFont="1" applyFill="1" applyBorder="1" applyAlignment="1">
      <alignment horizontal="center" vertical="center"/>
    </xf>
    <xf numFmtId="10" fontId="0" fillId="0" borderId="94" xfId="3" applyNumberFormat="1" applyFont="1" applyFill="1" applyBorder="1" applyAlignment="1">
      <alignment horizontal="center" vertical="center"/>
    </xf>
    <xf numFmtId="10" fontId="0" fillId="0" borderId="93" xfId="3" applyNumberFormat="1" applyFont="1" applyFill="1" applyBorder="1" applyAlignment="1">
      <alignment horizontal="center" vertical="center"/>
    </xf>
    <xf numFmtId="10" fontId="0" fillId="0" borderId="95" xfId="3" applyNumberFormat="1" applyFont="1" applyFill="1" applyBorder="1" applyAlignment="1">
      <alignment horizontal="center" vertical="center"/>
    </xf>
    <xf numFmtId="3" fontId="0" fillId="0" borderId="96" xfId="0" applyNumberFormat="1" applyFont="1" applyFill="1" applyBorder="1" applyAlignment="1">
      <alignment vertical="center"/>
    </xf>
    <xf numFmtId="10" fontId="0" fillId="0" borderId="96" xfId="3" applyNumberFormat="1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vertical="center"/>
    </xf>
    <xf numFmtId="3" fontId="32" fillId="2" borderId="30" xfId="0" applyNumberFormat="1" applyFont="1" applyFill="1" applyBorder="1" applyAlignment="1">
      <alignment vertical="center"/>
    </xf>
    <xf numFmtId="10" fontId="32" fillId="2" borderId="30" xfId="3" applyNumberFormat="1" applyFont="1" applyFill="1" applyBorder="1" applyAlignment="1">
      <alignment horizontal="center" vertical="center"/>
    </xf>
    <xf numFmtId="0" fontId="50" fillId="0" borderId="0" xfId="0" applyFont="1"/>
    <xf numFmtId="0" fontId="12" fillId="0" borderId="97" xfId="0" applyFont="1" applyBorder="1"/>
    <xf numFmtId="0" fontId="0" fillId="0" borderId="97" xfId="0" applyBorder="1"/>
    <xf numFmtId="0" fontId="32" fillId="2" borderId="61" xfId="210" applyFont="1" applyFill="1" applyBorder="1" applyAlignment="1">
      <alignment horizontal="center" vertical="center" wrapText="1"/>
    </xf>
    <xf numFmtId="0" fontId="32" fillId="2" borderId="62" xfId="210" applyFont="1" applyFill="1" applyBorder="1" applyAlignment="1">
      <alignment horizontal="center" vertical="center" wrapText="1"/>
    </xf>
    <xf numFmtId="0" fontId="32" fillId="2" borderId="91" xfId="210" applyFont="1" applyFill="1" applyBorder="1" applyAlignment="1">
      <alignment horizontal="center" vertical="center" wrapText="1"/>
    </xf>
    <xf numFmtId="0" fontId="32" fillId="2" borderId="63" xfId="210" applyFont="1" applyFill="1" applyBorder="1" applyAlignment="1">
      <alignment horizontal="center" vertical="center" wrapText="1"/>
    </xf>
    <xf numFmtId="0" fontId="32" fillId="2" borderId="88" xfId="0" applyFont="1" applyFill="1" applyBorder="1" applyAlignment="1">
      <alignment horizontal="centerContinuous" vertical="center"/>
    </xf>
    <xf numFmtId="0" fontId="32" fillId="2" borderId="89" xfId="0" applyFont="1" applyFill="1" applyBorder="1" applyAlignment="1">
      <alignment horizontal="centerContinuous" vertical="center"/>
    </xf>
    <xf numFmtId="0" fontId="32" fillId="2" borderId="90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22" fillId="51" borderId="98" xfId="0" applyFont="1" applyFill="1" applyBorder="1" applyAlignment="1">
      <alignment horizontal="center" vertical="center" wrapText="1"/>
    </xf>
    <xf numFmtId="0" fontId="51" fillId="51" borderId="99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 vertical="center"/>
    </xf>
    <xf numFmtId="0" fontId="55" fillId="0" borderId="100" xfId="0" applyFont="1" applyBorder="1" applyAlignment="1">
      <alignment horizontal="center" vertical="center"/>
    </xf>
    <xf numFmtId="0" fontId="55" fillId="0" borderId="73" xfId="0" applyFont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93" xfId="0" applyNumberFormat="1" applyFont="1" applyBorder="1" applyAlignment="1">
      <alignment horizontal="center" vertical="center"/>
    </xf>
    <xf numFmtId="4" fontId="4" fillId="0" borderId="101" xfId="0" applyNumberFormat="1" applyFont="1" applyBorder="1" applyAlignment="1">
      <alignment horizontal="center" vertical="center"/>
    </xf>
    <xf numFmtId="4" fontId="4" fillId="0" borderId="96" xfId="0" applyNumberFormat="1" applyFont="1" applyBorder="1" applyAlignment="1">
      <alignment horizontal="center" vertical="center"/>
    </xf>
    <xf numFmtId="0" fontId="22" fillId="51" borderId="102" xfId="0" applyFont="1" applyFill="1" applyBorder="1" applyAlignment="1">
      <alignment horizontal="center" vertical="center"/>
    </xf>
    <xf numFmtId="168" fontId="4" fillId="0" borderId="21" xfId="0" applyNumberFormat="1" applyFont="1" applyBorder="1" applyAlignment="1">
      <alignment horizontal="center" vertical="center"/>
    </xf>
    <xf numFmtId="168" fontId="4" fillId="0" borderId="93" xfId="0" applyNumberFormat="1" applyFont="1" applyBorder="1" applyAlignment="1">
      <alignment horizontal="center" vertical="center"/>
    </xf>
    <xf numFmtId="168" fontId="4" fillId="0" borderId="101" xfId="0" applyNumberFormat="1" applyFont="1" applyBorder="1" applyAlignment="1">
      <alignment horizontal="center" vertical="center"/>
    </xf>
    <xf numFmtId="168" fontId="4" fillId="0" borderId="96" xfId="0" applyNumberFormat="1" applyFont="1" applyBorder="1" applyAlignment="1">
      <alignment horizontal="center" vertical="center"/>
    </xf>
    <xf numFmtId="173" fontId="0" fillId="0" borderId="0" xfId="8" applyNumberFormat="1" applyFont="1"/>
    <xf numFmtId="168" fontId="4" fillId="0" borderId="21" xfId="0" applyNumberFormat="1" applyFont="1" applyFill="1" applyBorder="1" applyAlignment="1">
      <alignment horizontal="center" vertical="center"/>
    </xf>
    <xf numFmtId="168" fontId="4" fillId="0" borderId="93" xfId="0" applyNumberFormat="1" applyFont="1" applyFill="1" applyBorder="1" applyAlignment="1">
      <alignment horizontal="center" vertical="center"/>
    </xf>
    <xf numFmtId="168" fontId="4" fillId="0" borderId="101" xfId="0" applyNumberFormat="1" applyFont="1" applyFill="1" applyBorder="1" applyAlignment="1">
      <alignment horizontal="center" vertical="center"/>
    </xf>
    <xf numFmtId="168" fontId="4" fillId="0" borderId="96" xfId="0" applyNumberFormat="1" applyFont="1" applyFill="1" applyBorder="1" applyAlignment="1">
      <alignment horizontal="center" vertical="center"/>
    </xf>
    <xf numFmtId="174" fontId="0" fillId="0" borderId="0" xfId="0" applyNumberFormat="1"/>
    <xf numFmtId="168" fontId="4" fillId="0" borderId="13" xfId="0" applyNumberFormat="1" applyFont="1" applyFill="1" applyBorder="1" applyAlignment="1">
      <alignment horizontal="center" vertical="center"/>
    </xf>
    <xf numFmtId="168" fontId="4" fillId="0" borderId="95" xfId="0" applyNumberFormat="1" applyFont="1" applyFill="1" applyBorder="1" applyAlignment="1">
      <alignment horizontal="center" vertical="center"/>
    </xf>
    <xf numFmtId="168" fontId="4" fillId="0" borderId="71" xfId="0" applyNumberFormat="1" applyFont="1" applyFill="1" applyBorder="1" applyAlignment="1">
      <alignment horizontal="center" vertical="center"/>
    </xf>
    <xf numFmtId="168" fontId="4" fillId="0" borderId="84" xfId="0" applyNumberFormat="1" applyFont="1" applyFill="1" applyBorder="1" applyAlignment="1">
      <alignment horizontal="center" vertical="center"/>
    </xf>
    <xf numFmtId="175" fontId="0" fillId="0" borderId="0" xfId="8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170" fontId="23" fillId="0" borderId="83" xfId="8" applyNumberFormat="1" applyFont="1" applyBorder="1" applyAlignment="1">
      <alignment vertical="center"/>
    </xf>
    <xf numFmtId="170" fontId="23" fillId="0" borderId="107" xfId="8" applyNumberFormat="1" applyFont="1" applyBorder="1" applyAlignment="1">
      <alignment vertical="center"/>
    </xf>
    <xf numFmtId="170" fontId="23" fillId="0" borderId="32" xfId="8" applyNumberFormat="1" applyFont="1" applyBorder="1" applyAlignment="1">
      <alignment vertical="center"/>
    </xf>
    <xf numFmtId="170" fontId="23" fillId="0" borderId="37" xfId="8" applyNumberFormat="1" applyFont="1" applyBorder="1" applyAlignment="1">
      <alignment vertical="center"/>
    </xf>
    <xf numFmtId="167" fontId="23" fillId="0" borderId="108" xfId="0" applyNumberFormat="1" applyFont="1" applyBorder="1" applyAlignment="1">
      <alignment horizontal="center" vertical="center"/>
    </xf>
    <xf numFmtId="10" fontId="23" fillId="0" borderId="109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2" fillId="52" borderId="16" xfId="0" applyFont="1" applyFill="1" applyBorder="1" applyAlignment="1">
      <alignment horizontal="center" vertical="center" wrapText="1"/>
    </xf>
    <xf numFmtId="0" fontId="22" fillId="52" borderId="51" xfId="0" applyFont="1" applyFill="1" applyBorder="1" applyAlignment="1">
      <alignment horizontal="center" vertical="center" wrapText="1"/>
    </xf>
    <xf numFmtId="0" fontId="22" fillId="53" borderId="103" xfId="0" applyFont="1" applyFill="1" applyBorder="1" applyAlignment="1">
      <alignment horizontal="centerContinuous" vertical="center" wrapText="1"/>
    </xf>
    <xf numFmtId="0" fontId="22" fillId="53" borderId="54" xfId="0" applyFont="1" applyFill="1" applyBorder="1" applyAlignment="1">
      <alignment horizontal="centerContinuous" vertical="center" wrapText="1"/>
    </xf>
    <xf numFmtId="0" fontId="22" fillId="53" borderId="55" xfId="0" applyFont="1" applyFill="1" applyBorder="1" applyAlignment="1">
      <alignment horizontal="centerContinuous" vertical="center" wrapText="1"/>
    </xf>
    <xf numFmtId="0" fontId="22" fillId="53" borderId="104" xfId="0" applyFont="1" applyFill="1" applyBorder="1" applyAlignment="1">
      <alignment horizontal="center" vertical="center" wrapText="1"/>
    </xf>
    <xf numFmtId="0" fontId="22" fillId="53" borderId="105" xfId="0" applyFont="1" applyFill="1" applyBorder="1" applyAlignment="1">
      <alignment horizontal="center" vertical="center" wrapText="1"/>
    </xf>
    <xf numFmtId="0" fontId="22" fillId="53" borderId="106" xfId="0" applyFont="1" applyFill="1" applyBorder="1" applyAlignment="1">
      <alignment horizontal="center" vertical="center" wrapText="1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6" xfId="3" applyNumberFormat="1" applyFont="1" applyBorder="1" applyAlignment="1">
      <alignment horizontal="right" vertical="center" indent="1"/>
    </xf>
    <xf numFmtId="9" fontId="23" fillId="0" borderId="28" xfId="3" applyNumberFormat="1" applyFont="1" applyBorder="1" applyAlignment="1">
      <alignment horizontal="right" vertical="center" indent="1"/>
    </xf>
    <xf numFmtId="167" fontId="23" fillId="0" borderId="82" xfId="3" applyNumberFormat="1" applyFont="1" applyBorder="1" applyAlignment="1">
      <alignment horizontal="right" vertical="center" indent="1"/>
    </xf>
    <xf numFmtId="170" fontId="23" fillId="0" borderId="27" xfId="8" applyNumberFormat="1" applyFont="1" applyBorder="1" applyAlignment="1">
      <alignment vertical="center"/>
    </xf>
    <xf numFmtId="170" fontId="23" fillId="0" borderId="38" xfId="8" applyNumberFormat="1" applyFont="1" applyBorder="1" applyAlignment="1">
      <alignment vertical="center"/>
    </xf>
    <xf numFmtId="170" fontId="23" fillId="0" borderId="29" xfId="8" applyNumberFormat="1" applyFont="1" applyBorder="1" applyAlignment="1">
      <alignment vertical="center"/>
    </xf>
    <xf numFmtId="170" fontId="23" fillId="0" borderId="108" xfId="8" applyNumberFormat="1" applyFont="1" applyBorder="1" applyAlignment="1">
      <alignment vertical="center"/>
    </xf>
    <xf numFmtId="170" fontId="23" fillId="0" borderId="0" xfId="8" applyNumberFormat="1" applyFont="1" applyBorder="1" applyAlignment="1">
      <alignment vertical="center"/>
    </xf>
    <xf numFmtId="0" fontId="60" fillId="0" borderId="0" xfId="0" applyFont="1"/>
    <xf numFmtId="0" fontId="14" fillId="2" borderId="60" xfId="212" applyFont="1" applyFill="1" applyBorder="1" applyAlignment="1">
      <alignment horizontal="centerContinuous" vertical="center" wrapText="1"/>
    </xf>
    <xf numFmtId="0" fontId="14" fillId="2" borderId="39" xfId="212" applyFont="1" applyFill="1" applyBorder="1" applyAlignment="1">
      <alignment horizontal="centerContinuous" vertical="center" wrapText="1"/>
    </xf>
    <xf numFmtId="0" fontId="14" fillId="2" borderId="31" xfId="212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7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167" fontId="3" fillId="0" borderId="18" xfId="3" applyNumberFormat="1" applyFont="1" applyFill="1" applyBorder="1" applyAlignment="1">
      <alignment vertical="center"/>
    </xf>
    <xf numFmtId="167" fontId="3" fillId="0" borderId="14" xfId="3" applyNumberFormat="1" applyFont="1" applyFill="1" applyBorder="1" applyAlignment="1">
      <alignment vertical="center"/>
    </xf>
    <xf numFmtId="170" fontId="3" fillId="0" borderId="33" xfId="8" applyNumberFormat="1" applyFont="1" applyFill="1" applyBorder="1" applyAlignment="1">
      <alignment horizontal="center" vertical="center"/>
    </xf>
    <xf numFmtId="170" fontId="3" fillId="0" borderId="18" xfId="8" applyNumberFormat="1" applyFont="1" applyFill="1" applyBorder="1" applyAlignment="1">
      <alignment horizontal="center" vertical="center"/>
    </xf>
    <xf numFmtId="170" fontId="3" fillId="0" borderId="14" xfId="8" applyNumberFormat="1" applyFont="1" applyFill="1" applyBorder="1" applyAlignment="1">
      <alignment horizontal="center" vertical="center"/>
    </xf>
    <xf numFmtId="167" fontId="3" fillId="0" borderId="19" xfId="3" applyNumberFormat="1" applyFont="1" applyFill="1" applyBorder="1" applyAlignment="1">
      <alignment vertical="center"/>
    </xf>
    <xf numFmtId="167" fontId="3" fillId="0" borderId="15" xfId="3" applyNumberFormat="1" applyFont="1" applyFill="1" applyBorder="1" applyAlignment="1">
      <alignment vertical="center"/>
    </xf>
    <xf numFmtId="170" fontId="3" fillId="0" borderId="34" xfId="8" applyNumberFormat="1" applyFont="1" applyFill="1" applyBorder="1" applyAlignment="1">
      <alignment horizontal="center" vertical="center"/>
    </xf>
    <xf numFmtId="170" fontId="3" fillId="0" borderId="19" xfId="8" applyNumberFormat="1" applyFont="1" applyFill="1" applyBorder="1" applyAlignment="1">
      <alignment horizontal="center" vertical="center"/>
    </xf>
    <xf numFmtId="170" fontId="3" fillId="0" borderId="15" xfId="8" applyNumberFormat="1" applyFont="1" applyFill="1" applyBorder="1" applyAlignment="1">
      <alignment horizontal="center" vertical="center"/>
    </xf>
    <xf numFmtId="167" fontId="3" fillId="0" borderId="0" xfId="3" applyNumberFormat="1" applyFont="1"/>
    <xf numFmtId="170" fontId="3" fillId="0" borderId="0" xfId="8" applyNumberFormat="1" applyFont="1" applyAlignment="1">
      <alignment horizontal="center"/>
    </xf>
    <xf numFmtId="167" fontId="12" fillId="19" borderId="20" xfId="3" applyNumberFormat="1" applyFont="1" applyFill="1" applyBorder="1" applyAlignment="1">
      <alignment vertical="center"/>
    </xf>
    <xf numFmtId="170" fontId="12" fillId="19" borderId="35" xfId="8" applyNumberFormat="1" applyFont="1" applyFill="1" applyBorder="1" applyAlignment="1">
      <alignment horizontal="center" vertical="center"/>
    </xf>
    <xf numFmtId="170" fontId="12" fillId="19" borderId="20" xfId="8" applyNumberFormat="1" applyFont="1" applyFill="1" applyBorder="1" applyAlignment="1">
      <alignment horizontal="center" vertical="center"/>
    </xf>
    <xf numFmtId="170" fontId="12" fillId="19" borderId="17" xfId="8" applyNumberFormat="1" applyFont="1" applyFill="1" applyBorder="1" applyAlignment="1">
      <alignment horizontal="center" vertical="center"/>
    </xf>
    <xf numFmtId="0" fontId="22" fillId="52" borderId="69" xfId="0" applyFont="1" applyFill="1" applyBorder="1" applyAlignment="1">
      <alignment horizontal="center" vertical="center" wrapText="1"/>
    </xf>
    <xf numFmtId="0" fontId="22" fillId="53" borderId="110" xfId="0" applyFont="1" applyFill="1" applyBorder="1" applyAlignment="1">
      <alignment horizontal="center" vertical="center" wrapText="1"/>
    </xf>
    <xf numFmtId="0" fontId="22" fillId="53" borderId="91" xfId="0" applyFont="1" applyFill="1" applyBorder="1" applyAlignment="1">
      <alignment horizontal="center" vertical="center" wrapText="1"/>
    </xf>
    <xf numFmtId="0" fontId="22" fillId="53" borderId="111" xfId="0" applyFont="1" applyFill="1" applyBorder="1" applyAlignment="1">
      <alignment horizontal="center" vertical="center" wrapText="1"/>
    </xf>
    <xf numFmtId="0" fontId="27" fillId="0" borderId="69" xfId="0" applyFont="1" applyBorder="1" applyAlignment="1">
      <alignment vertical="center"/>
    </xf>
    <xf numFmtId="170" fontId="3" fillId="0" borderId="82" xfId="0" applyNumberFormat="1" applyFont="1" applyBorder="1" applyAlignment="1">
      <alignment vertical="center"/>
    </xf>
    <xf numFmtId="0" fontId="22" fillId="53" borderId="54" xfId="0" applyFont="1" applyFill="1" applyBorder="1" applyAlignment="1">
      <alignment horizontal="center" vertical="center" wrapText="1"/>
    </xf>
    <xf numFmtId="0" fontId="22" fillId="53" borderId="5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9" xfId="0" applyFont="1" applyFill="1" applyBorder="1" applyAlignment="1">
      <alignment horizontal="center" vertical="center" wrapText="1"/>
    </xf>
    <xf numFmtId="167" fontId="3" fillId="0" borderId="11" xfId="3" applyNumberFormat="1" applyFont="1" applyFill="1" applyBorder="1" applyAlignment="1">
      <alignment vertical="center"/>
    </xf>
    <xf numFmtId="167" fontId="3" fillId="0" borderId="12" xfId="3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2" fillId="51" borderId="115" xfId="0" applyFont="1" applyFill="1" applyBorder="1" applyAlignment="1">
      <alignment horizontal="centerContinuous" vertical="center" wrapText="1"/>
    </xf>
    <xf numFmtId="0" fontId="32" fillId="51" borderId="116" xfId="0" applyFont="1" applyFill="1" applyBorder="1" applyAlignment="1">
      <alignment horizontal="centerContinuous" vertical="center" wrapText="1"/>
    </xf>
    <xf numFmtId="167" fontId="12" fillId="19" borderId="10" xfId="3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70" fontId="22" fillId="51" borderId="66" xfId="8" applyNumberFormat="1" applyFont="1" applyFill="1" applyBorder="1" applyAlignment="1">
      <alignment horizontal="center" vertical="center"/>
    </xf>
    <xf numFmtId="170" fontId="22" fillId="51" borderId="99" xfId="8" applyNumberFormat="1" applyFont="1" applyFill="1" applyBorder="1" applyAlignment="1">
      <alignment horizontal="center" vertical="center"/>
    </xf>
    <xf numFmtId="170" fontId="22" fillId="51" borderId="102" xfId="8" applyNumberFormat="1" applyFont="1" applyFill="1" applyBorder="1" applyAlignment="1">
      <alignment horizontal="center" vertical="center"/>
    </xf>
    <xf numFmtId="170" fontId="3" fillId="0" borderId="1" xfId="8" applyNumberFormat="1" applyFont="1" applyBorder="1" applyAlignment="1">
      <alignment horizontal="center" vertical="center"/>
    </xf>
    <xf numFmtId="170" fontId="3" fillId="0" borderId="21" xfId="8" applyNumberFormat="1" applyFont="1" applyBorder="1" applyAlignment="1">
      <alignment horizontal="center" vertical="center"/>
    </xf>
    <xf numFmtId="170" fontId="3" fillId="0" borderId="13" xfId="8" applyNumberFormat="1" applyFont="1" applyBorder="1" applyAlignment="1">
      <alignment horizontal="center" vertical="center"/>
    </xf>
    <xf numFmtId="170" fontId="3" fillId="0" borderId="58" xfId="8" applyNumberFormat="1" applyFont="1" applyBorder="1" applyAlignment="1">
      <alignment horizontal="center" vertical="center"/>
    </xf>
    <xf numFmtId="170" fontId="3" fillId="0" borderId="93" xfId="8" applyNumberFormat="1" applyFont="1" applyBorder="1" applyAlignment="1">
      <alignment horizontal="center" vertical="center"/>
    </xf>
    <xf numFmtId="170" fontId="3" fillId="0" borderId="95" xfId="8" applyNumberFormat="1" applyFont="1" applyBorder="1" applyAlignment="1">
      <alignment horizontal="center" vertical="center"/>
    </xf>
    <xf numFmtId="170" fontId="3" fillId="0" borderId="70" xfId="8" applyNumberFormat="1" applyFont="1" applyBorder="1" applyAlignment="1">
      <alignment horizontal="center" vertical="center"/>
    </xf>
    <xf numFmtId="170" fontId="3" fillId="0" borderId="101" xfId="8" applyNumberFormat="1" applyFont="1" applyBorder="1" applyAlignment="1">
      <alignment horizontal="center" vertical="center"/>
    </xf>
    <xf numFmtId="170" fontId="3" fillId="0" borderId="71" xfId="8" applyNumberFormat="1" applyFont="1" applyBorder="1" applyAlignment="1">
      <alignment horizontal="center" vertical="center"/>
    </xf>
    <xf numFmtId="170" fontId="3" fillId="0" borderId="59" xfId="8" applyNumberFormat="1" applyFont="1" applyBorder="1" applyAlignment="1">
      <alignment horizontal="center" vertical="center"/>
    </xf>
    <xf numFmtId="170" fontId="3" fillId="0" borderId="96" xfId="8" applyNumberFormat="1" applyFont="1" applyBorder="1" applyAlignment="1">
      <alignment horizontal="center" vertical="center"/>
    </xf>
    <xf numFmtId="170" fontId="3" fillId="0" borderId="84" xfId="8" applyNumberFormat="1" applyFont="1" applyBorder="1" applyAlignment="1">
      <alignment horizontal="center" vertical="center"/>
    </xf>
    <xf numFmtId="170" fontId="22" fillId="51" borderId="54" xfId="8" applyNumberFormat="1" applyFont="1" applyFill="1" applyBorder="1" applyAlignment="1">
      <alignment horizontal="centerContinuous" vertical="center" wrapText="1"/>
    </xf>
    <xf numFmtId="170" fontId="22" fillId="51" borderId="55" xfId="8" applyNumberFormat="1" applyFont="1" applyFill="1" applyBorder="1" applyAlignment="1">
      <alignment horizontal="centerContinuous" vertical="center" wrapText="1"/>
    </xf>
    <xf numFmtId="170" fontId="22" fillId="51" borderId="118" xfId="8" applyNumberFormat="1" applyFont="1" applyFill="1" applyBorder="1" applyAlignment="1">
      <alignment horizontal="center" vertical="center"/>
    </xf>
    <xf numFmtId="170" fontId="22" fillId="51" borderId="119" xfId="8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0" fontId="3" fillId="0" borderId="0" xfId="8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0" fontId="3" fillId="0" borderId="21" xfId="8" applyNumberFormat="1" applyFont="1" applyBorder="1" applyAlignment="1">
      <alignment vertical="center"/>
    </xf>
    <xf numFmtId="170" fontId="3" fillId="0" borderId="13" xfId="8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0" fontId="3" fillId="0" borderId="22" xfId="8" applyNumberFormat="1" applyFont="1" applyBorder="1" applyAlignment="1">
      <alignment vertical="center"/>
    </xf>
    <xf numFmtId="170" fontId="3" fillId="0" borderId="14" xfId="8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0" fontId="3" fillId="0" borderId="23" xfId="8" applyNumberFormat="1" applyFont="1" applyBorder="1" applyAlignment="1">
      <alignment vertical="center"/>
    </xf>
    <xf numFmtId="170" fontId="3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0" fontId="22" fillId="51" borderId="56" xfId="8" applyNumberFormat="1" applyFont="1" applyFill="1" applyBorder="1" applyAlignment="1">
      <alignment horizontal="centerContinuous" vertical="center" wrapText="1"/>
    </xf>
    <xf numFmtId="170" fontId="22" fillId="51" borderId="117" xfId="8" applyNumberFormat="1" applyFont="1" applyFill="1" applyBorder="1" applyAlignment="1">
      <alignment horizontal="center" vertical="center"/>
    </xf>
    <xf numFmtId="170" fontId="3" fillId="0" borderId="1" xfId="8" applyNumberFormat="1" applyFont="1" applyBorder="1" applyAlignment="1">
      <alignment vertical="center"/>
    </xf>
    <xf numFmtId="170" fontId="3" fillId="0" borderId="2" xfId="8" applyNumberFormat="1" applyFont="1" applyBorder="1" applyAlignment="1">
      <alignment vertical="center"/>
    </xf>
    <xf numFmtId="170" fontId="3" fillId="0" borderId="3" xfId="8" applyNumberFormat="1" applyFont="1" applyBorder="1" applyAlignment="1">
      <alignment vertical="center"/>
    </xf>
    <xf numFmtId="0" fontId="11" fillId="0" borderId="21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25" fillId="0" borderId="120" xfId="0" applyFont="1" applyBorder="1" applyAlignment="1">
      <alignment vertical="center"/>
    </xf>
    <xf numFmtId="0" fontId="27" fillId="0" borderId="72" xfId="0" applyFont="1" applyBorder="1" applyAlignment="1">
      <alignment vertical="center"/>
    </xf>
    <xf numFmtId="0" fontId="25" fillId="0" borderId="72" xfId="0" applyFont="1" applyBorder="1" applyAlignment="1">
      <alignment vertical="center"/>
    </xf>
    <xf numFmtId="0" fontId="12" fillId="0" borderId="122" xfId="0" quotePrefix="1" applyFont="1" applyFill="1" applyBorder="1" applyAlignment="1">
      <alignment horizontal="left" vertical="center" indent="1"/>
    </xf>
    <xf numFmtId="0" fontId="11" fillId="0" borderId="85" xfId="0" applyFont="1" applyFill="1" applyBorder="1" applyAlignment="1">
      <alignment horizontal="left" vertical="center" indent="2"/>
    </xf>
    <xf numFmtId="0" fontId="12" fillId="0" borderId="85" xfId="0" quotePrefix="1" applyFont="1" applyFill="1" applyBorder="1" applyAlignment="1">
      <alignment horizontal="left" vertical="center" indent="1"/>
    </xf>
    <xf numFmtId="0" fontId="11" fillId="0" borderId="123" xfId="0" applyFont="1" applyFill="1" applyBorder="1" applyAlignment="1">
      <alignment horizontal="left" vertical="center" indent="2"/>
    </xf>
    <xf numFmtId="0" fontId="25" fillId="0" borderId="73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9" fontId="25" fillId="0" borderId="0" xfId="198" applyNumberFormat="1" applyFont="1" applyFill="1" applyBorder="1" applyAlignment="1">
      <alignment horizontal="right" vertical="center" indent="1"/>
    </xf>
    <xf numFmtId="0" fontId="11" fillId="0" borderId="85" xfId="0" applyFont="1" applyFill="1" applyBorder="1" applyAlignment="1">
      <alignment horizontal="left" vertical="center" indent="3"/>
    </xf>
    <xf numFmtId="0" fontId="12" fillId="0" borderId="85" xfId="0" applyFont="1" applyFill="1" applyBorder="1" applyAlignment="1">
      <alignment horizontal="left" vertical="center" indent="1"/>
    </xf>
    <xf numFmtId="0" fontId="11" fillId="0" borderId="123" xfId="0" applyFont="1" applyFill="1" applyBorder="1" applyAlignment="1">
      <alignment horizontal="left" vertical="center" indent="3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/>
    <xf numFmtId="177" fontId="0" fillId="0" borderId="0" xfId="0" applyNumberFormat="1"/>
    <xf numFmtId="178" fontId="0" fillId="0" borderId="21" xfId="8" applyNumberFormat="1" applyFont="1" applyBorder="1"/>
    <xf numFmtId="178" fontId="0" fillId="0" borderId="22" xfId="8" applyNumberFormat="1" applyFont="1" applyBorder="1"/>
    <xf numFmtId="178" fontId="0" fillId="0" borderId="1" xfId="8" applyNumberFormat="1" applyFont="1" applyBorder="1"/>
    <xf numFmtId="178" fontId="0" fillId="0" borderId="13" xfId="8" applyNumberFormat="1" applyFont="1" applyBorder="1"/>
    <xf numFmtId="178" fontId="0" fillId="0" borderId="2" xfId="8" applyNumberFormat="1" applyFont="1" applyBorder="1"/>
    <xf numFmtId="178" fontId="0" fillId="0" borderId="14" xfId="8" applyNumberFormat="1" applyFont="1" applyBorder="1"/>
    <xf numFmtId="178" fontId="0" fillId="0" borderId="3" xfId="8" applyNumberFormat="1" applyFont="1" applyBorder="1"/>
    <xf numFmtId="178" fontId="0" fillId="0" borderId="23" xfId="8" applyNumberFormat="1" applyFont="1" applyBorder="1"/>
    <xf numFmtId="178" fontId="0" fillId="0" borderId="15" xfId="8" applyNumberFormat="1" applyFont="1" applyBorder="1"/>
    <xf numFmtId="176" fontId="3" fillId="0" borderId="21" xfId="8" applyNumberFormat="1" applyFont="1" applyBorder="1" applyAlignment="1">
      <alignment vertical="center"/>
    </xf>
    <xf numFmtId="176" fontId="3" fillId="0" borderId="13" xfId="8" applyNumberFormat="1" applyFont="1" applyBorder="1" applyAlignment="1">
      <alignment vertical="center"/>
    </xf>
    <xf numFmtId="176" fontId="3" fillId="0" borderId="22" xfId="8" applyNumberFormat="1" applyFont="1" applyBorder="1" applyAlignment="1">
      <alignment vertical="center"/>
    </xf>
    <xf numFmtId="176" fontId="3" fillId="0" borderId="14" xfId="8" applyNumberFormat="1" applyFont="1" applyBorder="1" applyAlignment="1">
      <alignment vertical="center"/>
    </xf>
    <xf numFmtId="176" fontId="3" fillId="0" borderId="23" xfId="8" applyNumberFormat="1" applyFont="1" applyBorder="1" applyAlignment="1">
      <alignment vertical="center"/>
    </xf>
    <xf numFmtId="176" fontId="3" fillId="0" borderId="15" xfId="8" applyNumberFormat="1" applyFont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179" fontId="3" fillId="0" borderId="1" xfId="8" applyNumberFormat="1" applyFont="1" applyBorder="1" applyAlignment="1">
      <alignment vertical="center"/>
    </xf>
    <xf numFmtId="179" fontId="3" fillId="0" borderId="21" xfId="8" applyNumberFormat="1" applyFont="1" applyBorder="1" applyAlignment="1">
      <alignment vertical="center"/>
    </xf>
    <xf numFmtId="179" fontId="3" fillId="0" borderId="13" xfId="8" applyNumberFormat="1" applyFont="1" applyBorder="1" applyAlignment="1">
      <alignment vertical="center"/>
    </xf>
    <xf numFmtId="179" fontId="3" fillId="0" borderId="2" xfId="8" applyNumberFormat="1" applyFont="1" applyBorder="1" applyAlignment="1">
      <alignment vertical="center"/>
    </xf>
    <xf numFmtId="179" fontId="3" fillId="0" borderId="22" xfId="8" applyNumberFormat="1" applyFont="1" applyBorder="1" applyAlignment="1">
      <alignment vertical="center"/>
    </xf>
    <xf numFmtId="179" fontId="3" fillId="0" borderId="14" xfId="8" applyNumberFormat="1" applyFont="1" applyBorder="1" applyAlignment="1">
      <alignment vertical="center"/>
    </xf>
    <xf numFmtId="179" fontId="3" fillId="0" borderId="3" xfId="8" applyNumberFormat="1" applyFont="1" applyBorder="1" applyAlignment="1">
      <alignment vertical="center"/>
    </xf>
    <xf numFmtId="179" fontId="3" fillId="0" borderId="23" xfId="8" applyNumberFormat="1" applyFont="1" applyBorder="1" applyAlignment="1">
      <alignment vertical="center"/>
    </xf>
    <xf numFmtId="179" fontId="3" fillId="0" borderId="15" xfId="8" applyNumberFormat="1" applyFont="1" applyBorder="1" applyAlignment="1">
      <alignment vertical="center"/>
    </xf>
    <xf numFmtId="170" fontId="0" fillId="0" borderId="0" xfId="0" applyNumberFormat="1"/>
    <xf numFmtId="176" fontId="2" fillId="0" borderId="0" xfId="8" applyNumberFormat="1" applyFont="1" applyFill="1" applyBorder="1" applyAlignment="1">
      <alignment vertical="center"/>
    </xf>
    <xf numFmtId="167" fontId="2" fillId="0" borderId="0" xfId="3" applyNumberFormat="1" applyFont="1" applyFill="1" applyBorder="1" applyAlignment="1">
      <alignment vertical="center"/>
    </xf>
    <xf numFmtId="169" fontId="2" fillId="0" borderId="64" xfId="198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3" fillId="0" borderId="125" xfId="0" applyFont="1" applyBorder="1" applyAlignment="1">
      <alignment horizontal="center" vertical="center"/>
    </xf>
    <xf numFmtId="176" fontId="3" fillId="0" borderId="126" xfId="8" applyNumberFormat="1" applyFont="1" applyBorder="1" applyAlignment="1">
      <alignment vertical="center"/>
    </xf>
    <xf numFmtId="176" fontId="3" fillId="0" borderId="127" xfId="8" applyNumberFormat="1" applyFont="1" applyBorder="1" applyAlignment="1">
      <alignment vertical="center"/>
    </xf>
    <xf numFmtId="0" fontId="3" fillId="0" borderId="128" xfId="0" applyFont="1" applyBorder="1" applyAlignment="1">
      <alignment horizontal="center" vertical="center"/>
    </xf>
    <xf numFmtId="176" fontId="3" fillId="0" borderId="129" xfId="8" applyNumberFormat="1" applyFont="1" applyBorder="1" applyAlignment="1">
      <alignment vertical="center"/>
    </xf>
    <xf numFmtId="176" fontId="3" fillId="0" borderId="130" xfId="8" applyNumberFormat="1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176" fontId="3" fillId="0" borderId="132" xfId="8" applyNumberFormat="1" applyFont="1" applyBorder="1" applyAlignment="1">
      <alignment vertical="center"/>
    </xf>
    <xf numFmtId="176" fontId="3" fillId="0" borderId="133" xfId="8" applyNumberFormat="1" applyFont="1" applyBorder="1" applyAlignment="1">
      <alignment vertical="center"/>
    </xf>
    <xf numFmtId="179" fontId="0" fillId="0" borderId="101" xfId="0" applyNumberFormat="1" applyBorder="1"/>
    <xf numFmtId="179" fontId="0" fillId="0" borderId="22" xfId="0" applyNumberFormat="1" applyBorder="1"/>
    <xf numFmtId="179" fontId="0" fillId="0" borderId="70" xfId="0" applyNumberFormat="1" applyBorder="1"/>
    <xf numFmtId="179" fontId="0" fillId="0" borderId="71" xfId="0" applyNumberFormat="1" applyBorder="1"/>
    <xf numFmtId="179" fontId="0" fillId="0" borderId="2" xfId="0" applyNumberFormat="1" applyBorder="1"/>
    <xf numFmtId="179" fontId="0" fillId="0" borderId="14" xfId="0" applyNumberFormat="1" applyBorder="1"/>
    <xf numFmtId="179" fontId="0" fillId="0" borderId="3" xfId="0" applyNumberFormat="1" applyBorder="1"/>
    <xf numFmtId="179" fontId="0" fillId="0" borderId="23" xfId="0" applyNumberFormat="1" applyBorder="1"/>
    <xf numFmtId="179" fontId="0" fillId="0" borderId="15" xfId="0" applyNumberFormat="1" applyBorder="1"/>
    <xf numFmtId="180" fontId="0" fillId="0" borderId="0" xfId="0" applyNumberFormat="1"/>
    <xf numFmtId="170" fontId="22" fillId="51" borderId="118" xfId="8" applyNumberFormat="1" applyFont="1" applyFill="1" applyBorder="1" applyAlignment="1">
      <alignment horizontal="center" vertical="center" wrapText="1"/>
    </xf>
    <xf numFmtId="180" fontId="0" fillId="0" borderId="126" xfId="8" applyNumberFormat="1" applyFont="1" applyBorder="1"/>
    <xf numFmtId="180" fontId="0" fillId="0" borderId="126" xfId="0" applyNumberFormat="1" applyBorder="1"/>
    <xf numFmtId="180" fontId="0" fillId="0" borderId="129" xfId="8" applyNumberFormat="1" applyFont="1" applyBorder="1"/>
    <xf numFmtId="180" fontId="0" fillId="0" borderId="129" xfId="0" applyNumberFormat="1" applyBorder="1"/>
    <xf numFmtId="167" fontId="0" fillId="0" borderId="127" xfId="3" applyNumberFormat="1" applyFont="1" applyBorder="1" applyAlignment="1">
      <alignment horizontal="right" indent="1"/>
    </xf>
    <xf numFmtId="167" fontId="0" fillId="0" borderId="130" xfId="3" applyNumberFormat="1" applyFont="1" applyBorder="1" applyAlignment="1">
      <alignment horizontal="right" indent="1"/>
    </xf>
    <xf numFmtId="180" fontId="0" fillId="0" borderId="132" xfId="8" applyNumberFormat="1" applyFont="1" applyBorder="1"/>
    <xf numFmtId="180" fontId="0" fillId="0" borderId="132" xfId="0" applyNumberFormat="1" applyBorder="1"/>
    <xf numFmtId="167" fontId="0" fillId="0" borderId="133" xfId="3" applyNumberFormat="1" applyFont="1" applyBorder="1" applyAlignment="1">
      <alignment horizontal="right" indent="1"/>
    </xf>
    <xf numFmtId="170" fontId="3" fillId="19" borderId="23" xfId="8" applyNumberFormat="1" applyFont="1" applyFill="1" applyBorder="1" applyAlignment="1">
      <alignment vertical="center"/>
    </xf>
    <xf numFmtId="170" fontId="3" fillId="19" borderId="15" xfId="8" applyNumberFormat="1" applyFont="1" applyFill="1" applyBorder="1" applyAlignment="1">
      <alignment vertical="center"/>
    </xf>
    <xf numFmtId="0" fontId="3" fillId="19" borderId="3" xfId="0" applyFont="1" applyFill="1" applyBorder="1" applyAlignment="1">
      <alignment horizontal="center" vertical="center"/>
    </xf>
    <xf numFmtId="170" fontId="3" fillId="19" borderId="3" xfId="8" applyNumberFormat="1" applyFont="1" applyFill="1" applyBorder="1" applyAlignment="1">
      <alignment vertical="center"/>
    </xf>
    <xf numFmtId="179" fontId="3" fillId="19" borderId="3" xfId="8" applyNumberFormat="1" applyFont="1" applyFill="1" applyBorder="1" applyAlignment="1">
      <alignment vertical="center"/>
    </xf>
    <xf numFmtId="179" fontId="3" fillId="19" borderId="23" xfId="8" applyNumberFormat="1" applyFont="1" applyFill="1" applyBorder="1" applyAlignment="1">
      <alignment vertical="center"/>
    </xf>
    <xf numFmtId="179" fontId="3" fillId="19" borderId="15" xfId="8" applyNumberFormat="1" applyFont="1" applyFill="1" applyBorder="1" applyAlignment="1">
      <alignment vertical="center"/>
    </xf>
    <xf numFmtId="176" fontId="3" fillId="19" borderId="23" xfId="8" applyNumberFormat="1" applyFont="1" applyFill="1" applyBorder="1" applyAlignment="1">
      <alignment vertical="center"/>
    </xf>
    <xf numFmtId="176" fontId="3" fillId="19" borderId="15" xfId="8" applyNumberFormat="1" applyFont="1" applyFill="1" applyBorder="1" applyAlignment="1">
      <alignment vertical="center"/>
    </xf>
    <xf numFmtId="0" fontId="2" fillId="19" borderId="131" xfId="0" applyFont="1" applyFill="1" applyBorder="1" applyAlignment="1">
      <alignment horizontal="center" vertical="center"/>
    </xf>
    <xf numFmtId="176" fontId="3" fillId="19" borderId="132" xfId="8" applyNumberFormat="1" applyFont="1" applyFill="1" applyBorder="1" applyAlignment="1">
      <alignment vertical="center"/>
    </xf>
    <xf numFmtId="176" fontId="3" fillId="19" borderId="133" xfId="8" applyNumberFormat="1" applyFont="1" applyFill="1" applyBorder="1" applyAlignment="1">
      <alignment vertical="center"/>
    </xf>
    <xf numFmtId="179" fontId="0" fillId="19" borderId="3" xfId="0" applyNumberFormat="1" applyFill="1" applyBorder="1"/>
    <xf numFmtId="179" fontId="0" fillId="19" borderId="23" xfId="0" applyNumberFormat="1" applyFill="1" applyBorder="1"/>
    <xf numFmtId="179" fontId="0" fillId="19" borderId="15" xfId="0" applyNumberFormat="1" applyFill="1" applyBorder="1"/>
    <xf numFmtId="178" fontId="0" fillId="19" borderId="23" xfId="8" applyNumberFormat="1" applyFont="1" applyFill="1" applyBorder="1"/>
    <xf numFmtId="178" fontId="0" fillId="19" borderId="15" xfId="8" applyNumberFormat="1" applyFont="1" applyFill="1" applyBorder="1"/>
    <xf numFmtId="178" fontId="0" fillId="19" borderId="3" xfId="8" applyNumberFormat="1" applyFont="1" applyFill="1" applyBorder="1"/>
    <xf numFmtId="180" fontId="0" fillId="19" borderId="132" xfId="8" applyNumberFormat="1" applyFont="1" applyFill="1" applyBorder="1"/>
    <xf numFmtId="180" fontId="0" fillId="19" borderId="132" xfId="0" applyNumberFormat="1" applyFill="1" applyBorder="1"/>
    <xf numFmtId="167" fontId="0" fillId="19" borderId="133" xfId="3" applyNumberFormat="1" applyFont="1" applyFill="1" applyBorder="1" applyAlignment="1">
      <alignment horizontal="right" indent="1"/>
    </xf>
    <xf numFmtId="0" fontId="12" fillId="0" borderId="4" xfId="0" applyFont="1" applyBorder="1" applyAlignment="1">
      <alignment horizontal="left" vertical="center" indent="1"/>
    </xf>
    <xf numFmtId="180" fontId="12" fillId="0" borderId="24" xfId="8" applyNumberFormat="1" applyFont="1" applyBorder="1" applyAlignment="1">
      <alignment vertical="center"/>
    </xf>
    <xf numFmtId="180" fontId="12" fillId="0" borderId="24" xfId="0" applyNumberFormat="1" applyFont="1" applyBorder="1" applyAlignment="1">
      <alignment vertical="center"/>
    </xf>
    <xf numFmtId="167" fontId="12" fillId="0" borderId="17" xfId="3" applyNumberFormat="1" applyFont="1" applyBorder="1" applyAlignment="1">
      <alignment horizontal="right" vertical="center" indent="1"/>
    </xf>
    <xf numFmtId="0" fontId="12" fillId="0" borderId="0" xfId="0" applyFont="1" applyBorder="1" applyAlignment="1">
      <alignment horizontal="left" vertical="center" indent="1"/>
    </xf>
    <xf numFmtId="180" fontId="12" fillId="0" borderId="0" xfId="8" applyNumberFormat="1" applyFont="1" applyBorder="1" applyAlignment="1">
      <alignment vertical="center"/>
    </xf>
    <xf numFmtId="180" fontId="12" fillId="0" borderId="0" xfId="0" applyNumberFormat="1" applyFont="1" applyBorder="1" applyAlignment="1">
      <alignment vertical="center"/>
    </xf>
    <xf numFmtId="167" fontId="12" fillId="0" borderId="0" xfId="3" applyNumberFormat="1" applyFont="1" applyBorder="1" applyAlignment="1">
      <alignment horizontal="right" vertical="center" indent="1"/>
    </xf>
    <xf numFmtId="0" fontId="3" fillId="0" borderId="3" xfId="0" applyFont="1" applyFill="1" applyBorder="1" applyAlignment="1">
      <alignment horizontal="center" vertical="center"/>
    </xf>
    <xf numFmtId="170" fontId="3" fillId="0" borderId="23" xfId="8" applyNumberFormat="1" applyFont="1" applyFill="1" applyBorder="1" applyAlignment="1">
      <alignment vertical="center"/>
    </xf>
    <xf numFmtId="170" fontId="3" fillId="0" borderId="15" xfId="8" applyNumberFormat="1" applyFont="1" applyFill="1" applyBorder="1" applyAlignment="1">
      <alignment vertical="center"/>
    </xf>
    <xf numFmtId="0" fontId="0" fillId="0" borderId="0" xfId="0" applyFill="1"/>
    <xf numFmtId="179" fontId="3" fillId="0" borderId="23" xfId="8" applyNumberFormat="1" applyFont="1" applyFill="1" applyBorder="1" applyAlignment="1">
      <alignment vertical="center"/>
    </xf>
    <xf numFmtId="179" fontId="3" fillId="0" borderId="15" xfId="8" applyNumberFormat="1" applyFont="1" applyFill="1" applyBorder="1" applyAlignment="1">
      <alignment vertical="center"/>
    </xf>
    <xf numFmtId="170" fontId="3" fillId="0" borderId="52" xfId="8" applyNumberFormat="1" applyFont="1" applyBorder="1" applyAlignment="1">
      <alignment vertical="center"/>
    </xf>
    <xf numFmtId="170" fontId="3" fillId="0" borderId="41" xfId="8" applyNumberFormat="1" applyFont="1" applyBorder="1" applyAlignment="1">
      <alignment vertical="center"/>
    </xf>
    <xf numFmtId="170" fontId="3" fillId="0" borderId="42" xfId="8" applyNumberFormat="1" applyFont="1" applyFill="1" applyBorder="1" applyAlignment="1">
      <alignment vertical="center"/>
    </xf>
    <xf numFmtId="179" fontId="3" fillId="0" borderId="52" xfId="8" applyNumberFormat="1" applyFont="1" applyBorder="1" applyAlignment="1">
      <alignment vertical="center"/>
    </xf>
    <xf numFmtId="179" fontId="3" fillId="0" borderId="41" xfId="8" applyNumberFormat="1" applyFont="1" applyBorder="1" applyAlignment="1">
      <alignment vertical="center"/>
    </xf>
    <xf numFmtId="179" fontId="3" fillId="0" borderId="42" xfId="8" applyNumberFormat="1" applyFont="1" applyFill="1" applyBorder="1" applyAlignment="1">
      <alignment vertical="center"/>
    </xf>
    <xf numFmtId="178" fontId="0" fillId="0" borderId="23" xfId="8" applyNumberFormat="1" applyFont="1" applyFill="1" applyBorder="1"/>
    <xf numFmtId="178" fontId="0" fillId="0" borderId="15" xfId="8" applyNumberFormat="1" applyFont="1" applyFill="1" applyBorder="1"/>
    <xf numFmtId="178" fontId="0" fillId="0" borderId="3" xfId="8" applyNumberFormat="1" applyFont="1" applyFill="1" applyBorder="1"/>
    <xf numFmtId="0" fontId="12" fillId="19" borderId="4" xfId="0" applyFont="1" applyFill="1" applyBorder="1"/>
    <xf numFmtId="180" fontId="12" fillId="19" borderId="24" xfId="8" applyNumberFormat="1" applyFont="1" applyFill="1" applyBorder="1"/>
    <xf numFmtId="180" fontId="12" fillId="19" borderId="24" xfId="0" applyNumberFormat="1" applyFont="1" applyFill="1" applyBorder="1"/>
    <xf numFmtId="167" fontId="12" fillId="19" borderId="17" xfId="3" applyNumberFormat="1" applyFont="1" applyFill="1" applyBorder="1" applyAlignment="1">
      <alignment horizontal="right" indent="1"/>
    </xf>
    <xf numFmtId="167" fontId="12" fillId="0" borderId="17" xfId="3" applyNumberFormat="1" applyFont="1" applyBorder="1" applyAlignment="1">
      <alignment horizontal="right" indent="1"/>
    </xf>
    <xf numFmtId="0" fontId="12" fillId="54" borderId="4" xfId="0" applyFont="1" applyFill="1" applyBorder="1"/>
    <xf numFmtId="180" fontId="12" fillId="54" borderId="24" xfId="8" applyNumberFormat="1" applyFont="1" applyFill="1" applyBorder="1"/>
    <xf numFmtId="180" fontId="12" fillId="54" borderId="24" xfId="0" applyNumberFormat="1" applyFont="1" applyFill="1" applyBorder="1"/>
    <xf numFmtId="173" fontId="0" fillId="0" borderId="0" xfId="0" applyNumberFormat="1"/>
    <xf numFmtId="178" fontId="0" fillId="0" borderId="0" xfId="8" applyNumberFormat="1" applyFont="1"/>
    <xf numFmtId="180" fontId="0" fillId="0" borderId="0" xfId="8" applyNumberFormat="1" applyFont="1"/>
    <xf numFmtId="165" fontId="0" fillId="0" borderId="0" xfId="0" applyNumberFormat="1"/>
    <xf numFmtId="170" fontId="1" fillId="0" borderId="0" xfId="8" applyNumberFormat="1" applyFont="1" applyBorder="1" applyAlignment="1">
      <alignment vertical="center"/>
    </xf>
    <xf numFmtId="181" fontId="0" fillId="0" borderId="0" xfId="0" applyNumberFormat="1"/>
    <xf numFmtId="176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180" fontId="0" fillId="0" borderId="0" xfId="0" applyNumberFormat="1" applyFill="1" applyBorder="1"/>
    <xf numFmtId="167" fontId="0" fillId="0" borderId="0" xfId="3" applyNumberFormat="1" applyFont="1" applyFill="1" applyBorder="1" applyAlignment="1">
      <alignment horizontal="right" indent="1"/>
    </xf>
    <xf numFmtId="167" fontId="0" fillId="0" borderId="0" xfId="3" applyNumberFormat="1" applyFont="1" applyAlignment="1">
      <alignment vertical="center"/>
    </xf>
    <xf numFmtId="170" fontId="3" fillId="0" borderId="0" xfId="0" applyNumberFormat="1" applyFont="1"/>
    <xf numFmtId="0" fontId="14" fillId="3" borderId="98" xfId="0" applyFont="1" applyFill="1" applyBorder="1" applyAlignment="1">
      <alignment horizontal="left" vertical="center" wrapText="1" indent="1"/>
    </xf>
    <xf numFmtId="0" fontId="14" fillId="3" borderId="121" xfId="0" applyFont="1" applyFill="1" applyBorder="1" applyAlignment="1">
      <alignment horizontal="left" vertical="center" wrapText="1" indent="1"/>
    </xf>
    <xf numFmtId="0" fontId="14" fillId="3" borderId="49" xfId="0" applyFont="1" applyFill="1" applyBorder="1" applyAlignment="1">
      <alignment horizontal="left" vertical="center" wrapText="1" indent="1"/>
    </xf>
    <xf numFmtId="0" fontId="14" fillId="3" borderId="124" xfId="0" applyFont="1" applyFill="1" applyBorder="1" applyAlignment="1">
      <alignment horizontal="left" vertical="center" wrapText="1" inden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center" vertical="center"/>
    </xf>
    <xf numFmtId="4" fontId="3" fillId="0" borderId="70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9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17" xfId="0" applyFont="1" applyFill="1" applyBorder="1" applyAlignment="1">
      <alignment horizontal="center" vertical="center" wrapText="1"/>
    </xf>
    <xf numFmtId="0" fontId="32" fillId="2" borderId="112" xfId="0" applyFont="1" applyFill="1" applyBorder="1" applyAlignment="1">
      <alignment vertical="center" wrapText="1"/>
    </xf>
    <xf numFmtId="0" fontId="32" fillId="2" borderId="113" xfId="0" applyFont="1" applyFill="1" applyBorder="1" applyAlignment="1">
      <alignment vertical="center" wrapText="1"/>
    </xf>
    <xf numFmtId="0" fontId="32" fillId="2" borderId="114" xfId="0" applyFont="1" applyFill="1" applyBorder="1" applyAlignment="1">
      <alignment vertical="center" wrapText="1"/>
    </xf>
    <xf numFmtId="0" fontId="32" fillId="2" borderId="85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170" fontId="22" fillId="51" borderId="49" xfId="8" applyNumberFormat="1" applyFont="1" applyFill="1" applyBorder="1" applyAlignment="1">
      <alignment horizontal="center" vertical="center" wrapText="1"/>
    </xf>
    <xf numFmtId="170" fontId="22" fillId="51" borderId="50" xfId="8" applyNumberFormat="1" applyFont="1" applyFill="1" applyBorder="1" applyAlignment="1">
      <alignment horizontal="center" vertical="center" wrapText="1"/>
    </xf>
    <xf numFmtId="170" fontId="22" fillId="51" borderId="134" xfId="8" applyNumberFormat="1" applyFont="1" applyFill="1" applyBorder="1" applyAlignment="1">
      <alignment horizontal="center" vertical="center" wrapText="1"/>
    </xf>
    <xf numFmtId="170" fontId="22" fillId="51" borderId="119" xfId="8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justify" vertical="top" wrapText="1"/>
    </xf>
  </cellXfs>
  <cellStyles count="315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  <color rgb="FF7F7F7F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'IV. Peajes transporte'!$A$41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transporte'!$B$41:$G$41</c:f>
              <c:numCache>
                <c:formatCode>_-* #,##0.0\ _P_t_a_-;\-* #,##0.0\ _P_t_a_-;_-* "-"??\ _P_t_a_-;_-@_-</c:formatCode>
                <c:ptCount val="6"/>
                <c:pt idx="0">
                  <c:v>32.822525589387375</c:v>
                </c:pt>
                <c:pt idx="1">
                  <c:v>29.61389034875241</c:v>
                </c:pt>
                <c:pt idx="2">
                  <c:v>20.149128275254423</c:v>
                </c:pt>
                <c:pt idx="3">
                  <c:v>12.636311332592593</c:v>
                </c:pt>
                <c:pt idx="4">
                  <c:v>0.17257575856107626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'IV. Peajes transporte'!$A$42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transporte'!$B$42:$G$42</c:f>
              <c:numCache>
                <c:formatCode>_-* #,##0.0\ _P_t_a_-;\-* #,##0.0\ _P_t_a_-;_-* "-"??\ _P_t_a_-;_-@_-</c:formatCode>
                <c:ptCount val="6"/>
                <c:pt idx="0">
                  <c:v>37.003071469129623</c:v>
                </c:pt>
                <c:pt idx="1">
                  <c:v>33.370096158890178</c:v>
                </c:pt>
                <c:pt idx="2">
                  <c:v>26.688600370387977</c:v>
                </c:pt>
                <c:pt idx="3">
                  <c:v>16.410690047431</c:v>
                </c:pt>
                <c:pt idx="4">
                  <c:v>0.22560142916819773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'IV. Peajes transporte'!$A$43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transporte'!$B$43:$G$43</c:f>
              <c:numCache>
                <c:formatCode>_-* #,##0.0\ _P_t_a_-;\-* #,##0.0\ _P_t_a_-;_-* "-"??\ _P_t_a_-;_-@_-</c:formatCode>
                <c:ptCount val="6"/>
                <c:pt idx="0">
                  <c:v>35.065090200732293</c:v>
                </c:pt>
                <c:pt idx="1">
                  <c:v>31.627794425695946</c:v>
                </c:pt>
                <c:pt idx="2">
                  <c:v>24.000098586839488</c:v>
                </c:pt>
                <c:pt idx="3">
                  <c:v>14.358413651300536</c:v>
                </c:pt>
                <c:pt idx="4">
                  <c:v>0.21332745799410766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'IV. Peajes transporte'!$A$44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transporte'!$B$44:$G$44</c:f>
              <c:numCache>
                <c:formatCode>_-* #,##0.0\ _P_t_a_-;\-* #,##0.0\ _P_t_a_-;_-* "-"??\ _P_t_a_-;_-@_-</c:formatCode>
                <c:ptCount val="6"/>
                <c:pt idx="0">
                  <c:v>31.465476393510283</c:v>
                </c:pt>
                <c:pt idx="1">
                  <c:v>29.86008634867267</c:v>
                </c:pt>
                <c:pt idx="2">
                  <c:v>26.166281256433084</c:v>
                </c:pt>
                <c:pt idx="3">
                  <c:v>14.041248138460276</c:v>
                </c:pt>
                <c:pt idx="4">
                  <c:v>0.20625356359093916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'IV. Peajes transporte'!$A$45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transporte'!$B$45:$G$45</c:f>
              <c:numCache>
                <c:formatCode>_-* #,##0.0\ _P_t_a_-;\-* #,##0.0\ _P_t_a_-;_-* "-"??\ _P_t_a_-;_-@_-</c:formatCode>
                <c:ptCount val="6"/>
                <c:pt idx="0">
                  <c:v>27.100270463544604</c:v>
                </c:pt>
                <c:pt idx="1">
                  <c:v>30.926303724692893</c:v>
                </c:pt>
                <c:pt idx="2">
                  <c:v>14.112398381014955</c:v>
                </c:pt>
                <c:pt idx="3">
                  <c:v>11.11297903925664</c:v>
                </c:pt>
                <c:pt idx="4">
                  <c:v>0.21885270899977752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'IV. Peajes transporte'!$A$41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transporte'!$I$41:$N$41</c:f>
              <c:numCache>
                <c:formatCode>_-* #,##0.0\ _P_t_a_-;\-* #,##0.0\ _P_t_a_-;_-* "-"??\ _P_t_a_-;_-@_-</c:formatCode>
                <c:ptCount val="6"/>
                <c:pt idx="0">
                  <c:v>124.10434472818532</c:v>
                </c:pt>
                <c:pt idx="1">
                  <c:v>97.764798193977541</c:v>
                </c:pt>
                <c:pt idx="2">
                  <c:v>80.744452463982753</c:v>
                </c:pt>
                <c:pt idx="3">
                  <c:v>43.737751016827509</c:v>
                </c:pt>
                <c:pt idx="4">
                  <c:v>1.538269005779753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'IV. Peajes transporte'!$A$42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transporte'!$I$42:$N$42</c:f>
              <c:numCache>
                <c:formatCode>_-* #,##0.0\ _P_t_a_-;\-* #,##0.0\ _P_t_a_-;_-* "-"??\ _P_t_a_-;_-@_-</c:formatCode>
                <c:ptCount val="6"/>
                <c:pt idx="0">
                  <c:v>131.47612561092478</c:v>
                </c:pt>
                <c:pt idx="1">
                  <c:v>103.42321346682</c:v>
                </c:pt>
                <c:pt idx="2">
                  <c:v>76.346940402484009</c:v>
                </c:pt>
                <c:pt idx="3">
                  <c:v>41.79147554849451</c:v>
                </c:pt>
                <c:pt idx="4">
                  <c:v>1.4762677257422465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'IV. Peajes transporte'!$A$43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transporte'!$I$43:$N$43</c:f>
              <c:numCache>
                <c:formatCode>_-* #,##0.0\ _P_t_a_-;\-* #,##0.0\ _P_t_a_-;_-* "-"??\ _P_t_a_-;_-@_-</c:formatCode>
                <c:ptCount val="6"/>
                <c:pt idx="0">
                  <c:v>151.86065362798516</c:v>
                </c:pt>
                <c:pt idx="1">
                  <c:v>113.57072619138776</c:v>
                </c:pt>
                <c:pt idx="2">
                  <c:v>87.972857739909799</c:v>
                </c:pt>
                <c:pt idx="3">
                  <c:v>47.39559766334613</c:v>
                </c:pt>
                <c:pt idx="4">
                  <c:v>1.5678296889577417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'IV. Peajes transporte'!$A$44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transporte'!$I$44:$N$44</c:f>
              <c:numCache>
                <c:formatCode>_-* #,##0.0\ _P_t_a_-;\-* #,##0.0\ _P_t_a_-;_-* "-"??\ _P_t_a_-;_-@_-</c:formatCode>
                <c:ptCount val="6"/>
                <c:pt idx="0">
                  <c:v>123.67610679518353</c:v>
                </c:pt>
                <c:pt idx="1">
                  <c:v>95.512958544268173</c:v>
                </c:pt>
                <c:pt idx="2">
                  <c:v>76.373164709193233</c:v>
                </c:pt>
                <c:pt idx="3">
                  <c:v>41.48751347521231</c:v>
                </c:pt>
                <c:pt idx="4">
                  <c:v>1.3688216628437697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'IV. Peajes transporte'!$A$45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'IV. Peajes transporte'!$I$45:$N$45</c:f>
              <c:numCache>
                <c:formatCode>_-* #,##0.0\ _P_t_a_-;\-* #,##0.0\ _P_t_a_-;_-* "-"??\ _P_t_a_-;_-@_-</c:formatCode>
                <c:ptCount val="6"/>
                <c:pt idx="0">
                  <c:v>138.53942140553235</c:v>
                </c:pt>
                <c:pt idx="1">
                  <c:v>107.14141993617231</c:v>
                </c:pt>
                <c:pt idx="2">
                  <c:v>92.177450597659202</c:v>
                </c:pt>
                <c:pt idx="3">
                  <c:v>50.266630900546261</c:v>
                </c:pt>
                <c:pt idx="4">
                  <c:v>1.6209927020261641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'IV. Peajes distribución'!$A$41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distribución'!$B$41:$G$41</c:f>
              <c:numCache>
                <c:formatCode>_-* #,##0.0\ _P_t_a_-;\-* #,##0.0\ _P_t_a_-;_-* "-"??\ _P_t_a_-;_-@_-</c:formatCode>
                <c:ptCount val="6"/>
                <c:pt idx="0">
                  <c:v>5.3490125177882355</c:v>
                </c:pt>
                <c:pt idx="1">
                  <c:v>4.8745131245554747</c:v>
                </c:pt>
                <c:pt idx="2">
                  <c:v>2.3390718657329956</c:v>
                </c:pt>
                <c:pt idx="3">
                  <c:v>1.8583479581832825</c:v>
                </c:pt>
                <c:pt idx="4">
                  <c:v>0.10981742198759982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'IV. Peajes distribución'!$A$42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distribución'!$B$42:$G$42</c:f>
              <c:numCache>
                <c:formatCode>_-* #,##0.0\ _P_t_a_-;\-* #,##0.0\ _P_t_a_-;_-* "-"??\ _P_t_a_-;_-@_-</c:formatCode>
                <c:ptCount val="6"/>
                <c:pt idx="0">
                  <c:v>47.23053701631968</c:v>
                </c:pt>
                <c:pt idx="1">
                  <c:v>42.722721809381731</c:v>
                </c:pt>
                <c:pt idx="2">
                  <c:v>32.912948000506645</c:v>
                </c:pt>
                <c:pt idx="3">
                  <c:v>23.796535516947692</c:v>
                </c:pt>
                <c:pt idx="4">
                  <c:v>0.92825430854217528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'IV. Peajes distribución'!$A$43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distribución'!$B$43:$G$43</c:f>
              <c:numCache>
                <c:formatCode>_-* #,##0.0\ _P_t_a_-;\-* #,##0.0\ _P_t_a_-;_-* "-"??\ _P_t_a_-;_-@_-</c:formatCode>
                <c:ptCount val="6"/>
                <c:pt idx="0">
                  <c:v>53.440137144759952</c:v>
                </c:pt>
                <c:pt idx="1">
                  <c:v>52.611601875115156</c:v>
                </c:pt>
                <c:pt idx="2">
                  <c:v>36.720244019766255</c:v>
                </c:pt>
                <c:pt idx="3">
                  <c:v>23.660806144229209</c:v>
                </c:pt>
                <c:pt idx="4">
                  <c:v>0.66866917287323679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'IV. Peajes distribución'!$A$44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distribución'!$B$44:$G$44</c:f>
              <c:numCache>
                <c:formatCode>_-* #,##0.0\ _P_t_a_-;\-* #,##0.0\ _P_t_a_-;_-* "-"??\ _P_t_a_-;_-@_-</c:formatCode>
                <c:ptCount val="6"/>
                <c:pt idx="0">
                  <c:v>23.868370760164549</c:v>
                </c:pt>
                <c:pt idx="1">
                  <c:v>23.076049640521241</c:v>
                </c:pt>
                <c:pt idx="2">
                  <c:v>21.032877207464242</c:v>
                </c:pt>
                <c:pt idx="3">
                  <c:v>13.121016543873122</c:v>
                </c:pt>
                <c:pt idx="4">
                  <c:v>0.50817727871436957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'IV. Peajes distribución'!$A$41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distribución'!$I$41:$N$41</c:f>
              <c:numCache>
                <c:formatCode>_-* #,##0.0\ _P_t_a_-;\-* #,##0.0\ _P_t_a_-;_-* "-"??\ _P_t_a_-;_-@_-</c:formatCode>
                <c:ptCount val="6"/>
                <c:pt idx="0">
                  <c:v>164.30031763749497</c:v>
                </c:pt>
                <c:pt idx="1">
                  <c:v>126.18259817124658</c:v>
                </c:pt>
                <c:pt idx="2">
                  <c:v>98.644175215813746</c:v>
                </c:pt>
                <c:pt idx="3">
                  <c:v>62.420858802151891</c:v>
                </c:pt>
                <c:pt idx="4">
                  <c:v>5.9285741023072829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'IV. Peajes distribución'!$A$42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distribución'!$I$42:$N$42</c:f>
              <c:numCache>
                <c:formatCode>_-* #,##0.0\ _P_t_a_-;\-* #,##0.0\ _P_t_a_-;_-* "-"??\ _P_t_a_-;_-@_-</c:formatCode>
                <c:ptCount val="6"/>
                <c:pt idx="0">
                  <c:v>170.17647411873739</c:v>
                </c:pt>
                <c:pt idx="1">
                  <c:v>131.10060171407227</c:v>
                </c:pt>
                <c:pt idx="2">
                  <c:v>92.715859363813593</c:v>
                </c:pt>
                <c:pt idx="3">
                  <c:v>60.176570652593419</c:v>
                </c:pt>
                <c:pt idx="4">
                  <c:v>5.8079076501037727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'IV. Peajes distribución'!$A$43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distribución'!$I$43:$N$43</c:f>
              <c:numCache>
                <c:formatCode>_-* #,##0.0\ _P_t_a_-;\-* #,##0.0\ _P_t_a_-;_-* "-"??\ _P_t_a_-;_-@_-</c:formatCode>
                <c:ptCount val="6"/>
                <c:pt idx="0">
                  <c:v>225.66690317678464</c:v>
                </c:pt>
                <c:pt idx="1">
                  <c:v>174.0028127838934</c:v>
                </c:pt>
                <c:pt idx="2">
                  <c:v>138.32267085323147</c:v>
                </c:pt>
                <c:pt idx="3">
                  <c:v>77.367898663823567</c:v>
                </c:pt>
                <c:pt idx="4">
                  <c:v>4.6610861720125554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'IV. Peajes distribución'!$A$44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'IV. Peajes distribución'!$I$44:$N$44</c:f>
              <c:numCache>
                <c:formatCode>_-* #,##0.0\ _P_t_a_-;\-* #,##0.0\ _P_t_a_-;_-* "-"??\ _P_t_a_-;_-@_-</c:formatCode>
                <c:ptCount val="6"/>
                <c:pt idx="0">
                  <c:v>96.648774930716471</c:v>
                </c:pt>
                <c:pt idx="1">
                  <c:v>71.270077353727302</c:v>
                </c:pt>
                <c:pt idx="2">
                  <c:v>64.538348808374252</c:v>
                </c:pt>
                <c:pt idx="3">
                  <c:v>39.390549221267229</c:v>
                </c:pt>
                <c:pt idx="4">
                  <c:v>3.1373773233766307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'IV. Peajes T&amp;D'!$A$22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T&amp;D'!$B$22:$G$22</c:f>
              <c:numCache>
                <c:formatCode>_-* #,##0.0\ _P_t_a_-;\-* #,##0.0\ _P_t_a_-;_-* "-"??\ _P_t_a_-;_-@_-</c:formatCode>
                <c:ptCount val="6"/>
                <c:pt idx="0">
                  <c:v>10.935597328932255</c:v>
                </c:pt>
                <c:pt idx="1">
                  <c:v>9.9513440551504022</c:v>
                </c:pt>
                <c:pt idx="2">
                  <c:v>5.0587449117921901</c:v>
                </c:pt>
                <c:pt idx="3">
                  <c:v>3.8581044277064924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'IV. Peajes T&amp;D'!$A$23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T&amp;D'!$B$23:$G$23</c:f>
              <c:numCache>
                <c:formatCode>_-* #,##0.0\ _P_t_a_-;\-* #,##0.0\ _P_t_a_-;_-* "-"??\ _P_t_a_-;_-@_-</c:formatCode>
                <c:ptCount val="6"/>
                <c:pt idx="0">
                  <c:v>50.521683393077325</c:v>
                </c:pt>
                <c:pt idx="1">
                  <c:v>45.66244434049608</c:v>
                </c:pt>
                <c:pt idx="2">
                  <c:v>35.538881007901161</c:v>
                </c:pt>
                <c:pt idx="3">
                  <c:v>24.632388982783723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'IV. Peajes T&amp;D'!$A$25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T&amp;D'!$B$25:$G$25</c:f>
              <c:numCache>
                <c:formatCode>_-* #,##0.0\ _P_t_a_-;\-* #,##0.0\ _P_t_a_-;_-* "-"??\ _P_t_a_-;_-@_-</c:formatCode>
                <c:ptCount val="6"/>
                <c:pt idx="0">
                  <c:v>38.559339413718156</c:v>
                </c:pt>
                <c:pt idx="1">
                  <c:v>36.894005085783235</c:v>
                </c:pt>
                <c:pt idx="2">
                  <c:v>32.906021789939416</c:v>
                </c:pt>
                <c:pt idx="3">
                  <c:v>18.959976856166769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'IV. Peajes T&amp;D'!$A$26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T&amp;D'!$B$26:$G$26</c:f>
              <c:numCache>
                <c:formatCode>_-* #,##0.0\ _P_t_a_-;\-* #,##0.0\ _P_t_a_-;_-* "-"??\ _P_t_a_-;_-@_-</c:formatCode>
                <c:ptCount val="6"/>
                <c:pt idx="0">
                  <c:v>45.341354637864768</c:v>
                </c:pt>
                <c:pt idx="1">
                  <c:v>45.341354637864768</c:v>
                </c:pt>
                <c:pt idx="2">
                  <c:v>22.010563685918019</c:v>
                </c:pt>
                <c:pt idx="3">
                  <c:v>17.332484973843165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'IV. Peajes T&amp;D'!$A$24</c15:sqref>
                        </c15:formulaRef>
                      </c:ext>
                    </c:extLst>
                    <c:strCache>
                      <c:ptCount val="1"/>
                      <c:pt idx="0">
                        <c:v>NT2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'IV. Peajes T&amp;D'!$B$24:$G$24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57.748667706446483</c:v>
                      </c:pt>
                      <c:pt idx="1">
                        <c:v>54.702656684431702</c:v>
                      </c:pt>
                      <c:pt idx="2">
                        <c:v>39.610800071652271</c:v>
                      </c:pt>
                      <c:pt idx="3">
                        <c:v>24.701227024274043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'IV. Peajes T&amp;D'!$A$22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T&amp;D'!$I$22:$N$22</c:f>
              <c:numCache>
                <c:formatCode>_-* #,##0.0\ _P_t_a_-;\-* #,##0.0\ _P_t_a_-;_-* "-"??\ _P_t_a_-;_-@_-</c:formatCode>
                <c:ptCount val="6"/>
                <c:pt idx="0">
                  <c:v>151.38841873996742</c:v>
                </c:pt>
                <c:pt idx="1">
                  <c:v>117.05412749025267</c:v>
                </c:pt>
                <c:pt idx="2">
                  <c:v>92.894360153820642</c:v>
                </c:pt>
                <c:pt idx="3">
                  <c:v>56.419401905960015</c:v>
                </c:pt>
                <c:pt idx="4">
                  <c:v>4.5183040818860505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'IV. Peajes T&amp;D'!$A$23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T&amp;D'!$I$23:$N$23</c:f>
              <c:numCache>
                <c:formatCode>_-* #,##0.0\ _P_t_a_-;\-* #,##0.0\ _P_t_a_-;_-* "-"??\ _P_t_a_-;_-@_-</c:formatCode>
                <c:ptCount val="6"/>
                <c:pt idx="0">
                  <c:v>157.93480633938472</c:v>
                </c:pt>
                <c:pt idx="1">
                  <c:v>122.34570918759736</c:v>
                </c:pt>
                <c:pt idx="2">
                  <c:v>87.538054109907634</c:v>
                </c:pt>
                <c:pt idx="3">
                  <c:v>54.36100993972935</c:v>
                </c:pt>
                <c:pt idx="4">
                  <c:v>4.4377262709074188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'IV. Peajes T&amp;D'!$A$24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T&amp;D'!$I$24:$N$24</c:f>
              <c:numCache>
                <c:formatCode>_-* #,##0.0\ _P_t_a_-;\-* #,##0.0\ _P_t_a_-;_-* "-"??\ _P_t_a_-;_-@_-</c:formatCode>
                <c:ptCount val="6"/>
                <c:pt idx="0">
                  <c:v>185.86780445668469</c:v>
                </c:pt>
                <c:pt idx="1">
                  <c:v>141.41556448364585</c:v>
                </c:pt>
                <c:pt idx="2">
                  <c:v>111.17216266610646</c:v>
                </c:pt>
                <c:pt idx="3">
                  <c:v>61.205709503976792</c:v>
                </c:pt>
                <c:pt idx="4">
                  <c:v>2.9930862277220616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'IV. Peajes T&amp;D'!$A$25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T&amp;D'!$I$25:$N$25</c:f>
              <c:numCache>
                <c:formatCode>_-* #,##0.0\ _P_t_a_-;\-* #,##0.0\ _P_t_a_-;_-* "-"??\ _P_t_a_-;_-@_-</c:formatCode>
                <c:ptCount val="6"/>
                <c:pt idx="0">
                  <c:v>109.83028548677848</c:v>
                </c:pt>
                <c:pt idx="1">
                  <c:v>83.093582386519515</c:v>
                </c:pt>
                <c:pt idx="2">
                  <c:v>70.310311483342943</c:v>
                </c:pt>
                <c:pt idx="3">
                  <c:v>40.413260474737342</c:v>
                </c:pt>
                <c:pt idx="4">
                  <c:v>2.2748343529791049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'IV. Peajes T&amp;D'!$A$26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'IV. Peajes T&amp;D'!$I$26:$N$26</c:f>
              <c:numCache>
                <c:formatCode>_-* #,##0.0\ _P_t_a_-;\-* #,##0.0\ _P_t_a_-;_-* "-"??\ _P_t_a_-;_-@_-</c:formatCode>
                <c:ptCount val="6"/>
                <c:pt idx="0">
                  <c:v>138.53942140553235</c:v>
                </c:pt>
                <c:pt idx="1">
                  <c:v>107.14141993617231</c:v>
                </c:pt>
                <c:pt idx="2">
                  <c:v>92.177450597659202</c:v>
                </c:pt>
                <c:pt idx="3">
                  <c:v>50.266630900546261</c:v>
                </c:pt>
                <c:pt idx="4">
                  <c:v>1.6209927020261641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709041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DF8461-C4F2-4C66-97B8-D04BAFAC7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80391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64C153-3885-4F8F-881B-21451FC9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680466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0307A-05C7-4870-8435-D899F42A6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680466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F654B-328E-4C53-A901-6CF1A56F7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E33B0F-FCE4-46DA-BD5B-B424287AC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AFFA96-523C-48DB-B264-B7FCA52E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BE1180-B8F5-455C-8E59-7A50CA315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46</xdr:row>
      <xdr:rowOff>38100</xdr:rowOff>
    </xdr:from>
    <xdr:to>
      <xdr:col>6</xdr:col>
      <xdr:colOff>847724</xdr:colOff>
      <xdr:row>64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46</xdr:row>
      <xdr:rowOff>38100</xdr:rowOff>
    </xdr:from>
    <xdr:to>
      <xdr:col>14</xdr:col>
      <xdr:colOff>28575</xdr:colOff>
      <xdr:row>64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613791</xdr:colOff>
      <xdr:row>3</xdr:row>
      <xdr:rowOff>84201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CEF08B-B9FC-44C2-B4E8-3584862C9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46</xdr:row>
      <xdr:rowOff>38100</xdr:rowOff>
    </xdr:from>
    <xdr:to>
      <xdr:col>6</xdr:col>
      <xdr:colOff>847724</xdr:colOff>
      <xdr:row>64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46</xdr:row>
      <xdr:rowOff>38100</xdr:rowOff>
    </xdr:from>
    <xdr:to>
      <xdr:col>14</xdr:col>
      <xdr:colOff>66675</xdr:colOff>
      <xdr:row>64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613791</xdr:colOff>
      <xdr:row>3</xdr:row>
      <xdr:rowOff>84201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CEE92A-23FC-4106-B507-9B3820382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27</xdr:row>
      <xdr:rowOff>66675</xdr:rowOff>
    </xdr:from>
    <xdr:to>
      <xdr:col>6</xdr:col>
      <xdr:colOff>733424</xdr:colOff>
      <xdr:row>46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27</xdr:row>
      <xdr:rowOff>85725</xdr:rowOff>
    </xdr:from>
    <xdr:to>
      <xdr:col>14</xdr:col>
      <xdr:colOff>85726</xdr:colOff>
      <xdr:row>46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470916</xdr:colOff>
      <xdr:row>3</xdr:row>
      <xdr:rowOff>84201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41F43B-B6CC-4D72-A1F9-8DB427C3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N131"/>
  <sheetViews>
    <sheetView showGridLines="0" tabSelected="1" zoomScaleNormal="100" zoomScaleSheetLayoutView="115" workbookViewId="0">
      <selection activeCell="F125" sqref="F125"/>
    </sheetView>
  </sheetViews>
  <sheetFormatPr baseColWidth="10" defaultRowHeight="12.75"/>
  <cols>
    <col min="1" max="1" width="26.7109375" style="1" customWidth="1"/>
    <col min="2" max="2" width="13" style="1" customWidth="1"/>
    <col min="3" max="3" width="13" style="1" bestFit="1" customWidth="1"/>
    <col min="4" max="9" width="12.7109375" style="1" customWidth="1"/>
    <col min="10" max="10" width="8.85546875" style="1" customWidth="1"/>
    <col min="11" max="11" width="10.85546875" style="1" customWidth="1"/>
    <col min="12" max="16384" width="11.42578125" style="1"/>
  </cols>
  <sheetData>
    <row r="6" spans="1:8" s="5" customFormat="1" ht="30" customHeight="1">
      <c r="A6" s="4" t="s">
        <v>0</v>
      </c>
      <c r="B6" s="4"/>
    </row>
    <row r="8" spans="1:8" s="2" customFormat="1" ht="19.5" customHeight="1">
      <c r="A8" s="6" t="s">
        <v>125</v>
      </c>
      <c r="B8" s="6"/>
    </row>
    <row r="9" spans="1:8">
      <c r="D9" s="2"/>
      <c r="E9" s="2"/>
      <c r="F9" s="2"/>
      <c r="G9" s="2"/>
      <c r="H9" s="2"/>
    </row>
    <row r="10" spans="1:8" s="2" customFormat="1" ht="19.5" customHeight="1">
      <c r="A10" s="6" t="s">
        <v>126</v>
      </c>
      <c r="B10" s="6"/>
    </row>
    <row r="11" spans="1:8" ht="13.5" thickBot="1">
      <c r="D11" s="2"/>
      <c r="E11" s="2"/>
      <c r="F11" s="2"/>
      <c r="G11" s="2"/>
      <c r="H11" s="2"/>
    </row>
    <row r="12" spans="1:8" s="30" customFormat="1" ht="33" customHeight="1" thickBot="1">
      <c r="C12" s="71" t="s">
        <v>37</v>
      </c>
      <c r="D12" s="2"/>
      <c r="E12" s="2"/>
      <c r="F12" s="2"/>
      <c r="G12" s="2"/>
    </row>
    <row r="13" spans="1:8" s="30" customFormat="1" ht="7.5" customHeight="1" thickBot="1">
      <c r="C13" s="56"/>
      <c r="D13" s="2"/>
      <c r="E13" s="2"/>
      <c r="F13" s="2"/>
      <c r="G13" s="2"/>
    </row>
    <row r="14" spans="1:8" s="31" customFormat="1" ht="34.5" customHeight="1">
      <c r="A14" s="405" t="s">
        <v>42</v>
      </c>
      <c r="B14" s="406"/>
      <c r="C14" s="75">
        <f>C15+C18+C19</f>
        <v>1439888.0886112708</v>
      </c>
      <c r="D14" s="2"/>
      <c r="E14" s="2"/>
      <c r="F14" s="2"/>
      <c r="G14" s="2"/>
    </row>
    <row r="15" spans="1:8" s="32" customFormat="1" ht="20.100000000000001" customHeight="1">
      <c r="A15" s="262" t="s">
        <v>26</v>
      </c>
      <c r="B15" s="259"/>
      <c r="C15" s="57">
        <f>SUM(C16:C17)</f>
        <v>1554210</v>
      </c>
      <c r="D15" s="2"/>
      <c r="E15" s="2"/>
      <c r="F15" s="2"/>
      <c r="G15" s="2"/>
    </row>
    <row r="16" spans="1:8" s="33" customFormat="1" ht="20.100000000000001" customHeight="1">
      <c r="A16" s="263" t="s">
        <v>26</v>
      </c>
      <c r="B16" s="260"/>
      <c r="C16" s="303">
        <v>1552030</v>
      </c>
      <c r="D16" s="2"/>
      <c r="E16" s="2"/>
      <c r="F16" s="2"/>
      <c r="G16" s="2"/>
    </row>
    <row r="17" spans="1:9" s="33" customFormat="1" ht="20.100000000000001" customHeight="1">
      <c r="A17" s="263" t="s">
        <v>34</v>
      </c>
      <c r="B17" s="260"/>
      <c r="C17" s="303">
        <v>2180</v>
      </c>
      <c r="D17" s="2"/>
      <c r="E17" s="2"/>
      <c r="F17" s="2"/>
      <c r="G17" s="2"/>
    </row>
    <row r="18" spans="1:9" s="32" customFormat="1" ht="20.100000000000001" customHeight="1">
      <c r="A18" s="264" t="s">
        <v>27</v>
      </c>
      <c r="B18" s="261"/>
      <c r="C18" s="57">
        <v>-114321.91138872934</v>
      </c>
      <c r="D18" s="2"/>
      <c r="E18" s="2"/>
      <c r="F18" s="2"/>
      <c r="G18" s="2"/>
    </row>
    <row r="19" spans="1:9" s="32" customFormat="1" ht="20.100000000000001" customHeight="1">
      <c r="A19" s="264" t="s">
        <v>28</v>
      </c>
      <c r="B19" s="261"/>
      <c r="C19" s="57">
        <f>SUM(C20:C23)</f>
        <v>0</v>
      </c>
      <c r="D19" s="2"/>
      <c r="E19" s="2"/>
      <c r="F19" s="2"/>
      <c r="G19" s="2"/>
    </row>
    <row r="20" spans="1:9" s="32" customFormat="1" ht="20.100000000000001" customHeight="1">
      <c r="A20" s="263" t="s">
        <v>33</v>
      </c>
      <c r="B20" s="261"/>
      <c r="C20" s="72" t="s">
        <v>29</v>
      </c>
      <c r="D20" s="2"/>
      <c r="E20" s="2"/>
      <c r="F20" s="2"/>
      <c r="G20" s="2"/>
    </row>
    <row r="21" spans="1:9" s="32" customFormat="1" ht="20.100000000000001" customHeight="1">
      <c r="A21" s="263" t="s">
        <v>30</v>
      </c>
      <c r="B21" s="261"/>
      <c r="C21" s="72" t="s">
        <v>29</v>
      </c>
      <c r="D21" s="2"/>
      <c r="E21" s="2"/>
      <c r="F21" s="2"/>
      <c r="G21" s="2"/>
    </row>
    <row r="22" spans="1:9" s="32" customFormat="1" ht="20.100000000000001" customHeight="1">
      <c r="A22" s="263" t="s">
        <v>157</v>
      </c>
      <c r="B22" s="261"/>
      <c r="C22" s="73" t="s">
        <v>29</v>
      </c>
      <c r="D22" s="2"/>
      <c r="E22" s="2"/>
      <c r="F22" s="2"/>
      <c r="G22" s="2"/>
    </row>
    <row r="23" spans="1:9" s="32" customFormat="1" ht="20.100000000000001" customHeight="1" thickBot="1">
      <c r="A23" s="265" t="s">
        <v>31</v>
      </c>
      <c r="B23" s="266"/>
      <c r="C23" s="74" t="s">
        <v>29</v>
      </c>
      <c r="D23" s="2"/>
      <c r="E23" s="2"/>
      <c r="F23" s="2"/>
      <c r="G23" s="2"/>
    </row>
    <row r="24" spans="1:9" s="32" customFormat="1">
      <c r="A24" s="304" t="s">
        <v>163</v>
      </c>
      <c r="B24" s="267"/>
      <c r="C24" s="268"/>
      <c r="D24" s="2"/>
      <c r="E24" s="2"/>
      <c r="F24" s="2"/>
      <c r="G24" s="2"/>
    </row>
    <row r="25" spans="1:9" s="30" customFormat="1">
      <c r="B25" s="56"/>
      <c r="D25" s="2"/>
      <c r="E25" s="2"/>
      <c r="F25" s="2"/>
      <c r="G25" s="2"/>
    </row>
    <row r="26" spans="1:9" s="30" customFormat="1" ht="15.75">
      <c r="A26" s="6" t="s">
        <v>127</v>
      </c>
      <c r="B26" s="60"/>
      <c r="C26" s="2"/>
      <c r="D26" s="2"/>
      <c r="E26" s="2"/>
      <c r="F26" s="2"/>
      <c r="G26" s="2"/>
    </row>
    <row r="27" spans="1:9" s="30" customFormat="1" ht="13.5" thickBot="1">
      <c r="B27" s="56"/>
      <c r="D27" s="2"/>
      <c r="E27" s="2"/>
      <c r="F27" s="2"/>
    </row>
    <row r="28" spans="1:9" s="30" customFormat="1" ht="33" customHeight="1" thickBot="1">
      <c r="C28" s="71" t="s">
        <v>37</v>
      </c>
      <c r="D28" s="2"/>
      <c r="E28" s="2"/>
      <c r="F28" s="2"/>
      <c r="G28" s="2"/>
    </row>
    <row r="29" spans="1:9" s="30" customFormat="1" ht="7.5" customHeight="1" thickBot="1">
      <c r="C29" s="56"/>
      <c r="D29" s="2"/>
      <c r="E29" s="2"/>
      <c r="F29" s="2"/>
      <c r="G29" s="2"/>
    </row>
    <row r="30" spans="1:9" s="31" customFormat="1" ht="34.5" customHeight="1">
      <c r="A30" s="407" t="s">
        <v>39</v>
      </c>
      <c r="B30" s="408"/>
      <c r="C30" s="76">
        <f>C31</f>
        <v>5257000</v>
      </c>
      <c r="D30" s="2"/>
      <c r="E30" s="2"/>
      <c r="F30" s="2"/>
      <c r="H30" s="54"/>
    </row>
    <row r="31" spans="1:9" s="32" customFormat="1" ht="20.100000000000001" customHeight="1">
      <c r="A31" s="262" t="s">
        <v>38</v>
      </c>
      <c r="B31" s="259"/>
      <c r="C31" s="57">
        <f>SUM(C32:C32)</f>
        <v>5257000</v>
      </c>
      <c r="D31" s="2"/>
      <c r="E31" s="2"/>
      <c r="F31" s="2"/>
      <c r="I31" s="55"/>
    </row>
    <row r="32" spans="1:9" s="33" customFormat="1" ht="20.100000000000001" customHeight="1">
      <c r="A32" s="269" t="s">
        <v>35</v>
      </c>
      <c r="B32" s="260"/>
      <c r="C32" s="303">
        <v>5257000</v>
      </c>
      <c r="D32" s="2"/>
      <c r="E32" s="2"/>
      <c r="F32" s="2"/>
    </row>
    <row r="33" spans="1:8" s="32" customFormat="1" ht="20.100000000000001" customHeight="1">
      <c r="A33" s="270" t="s">
        <v>32</v>
      </c>
      <c r="B33" s="261"/>
      <c r="C33" s="70" t="s">
        <v>29</v>
      </c>
      <c r="D33" s="2"/>
      <c r="E33" s="2"/>
      <c r="F33" s="2"/>
    </row>
    <row r="34" spans="1:8" s="32" customFormat="1" ht="20.100000000000001" customHeight="1">
      <c r="A34" s="269" t="s">
        <v>41</v>
      </c>
      <c r="B34" s="261"/>
      <c r="C34" s="58" t="s">
        <v>29</v>
      </c>
      <c r="D34" s="2"/>
      <c r="E34" s="2"/>
      <c r="F34" s="2"/>
    </row>
    <row r="35" spans="1:8" s="32" customFormat="1" ht="20.100000000000001" customHeight="1" thickBot="1">
      <c r="A35" s="271" t="s">
        <v>40</v>
      </c>
      <c r="B35" s="266"/>
      <c r="C35" s="59" t="s">
        <v>29</v>
      </c>
      <c r="D35" s="2"/>
      <c r="E35" s="2"/>
      <c r="F35" s="2"/>
    </row>
    <row r="36" spans="1:8" s="31" customFormat="1">
      <c r="A36" s="304" t="s">
        <v>164</v>
      </c>
    </row>
    <row r="37" spans="1:8">
      <c r="A37" s="18"/>
      <c r="B37" s="19"/>
      <c r="E37" s="2"/>
      <c r="F37" s="2"/>
      <c r="G37" s="2"/>
      <c r="H37" s="2"/>
    </row>
    <row r="38" spans="1:8" s="2" customFormat="1" ht="15" customHeight="1">
      <c r="A38" s="6" t="s">
        <v>137</v>
      </c>
      <c r="B38" s="6"/>
    </row>
    <row r="39" spans="1:8" ht="13.5" thickBot="1"/>
    <row r="40" spans="1:8" s="2" customFormat="1" ht="30.75" customHeight="1">
      <c r="A40" s="82" t="s">
        <v>1</v>
      </c>
      <c r="B40" s="83" t="s">
        <v>9</v>
      </c>
      <c r="C40" s="1"/>
      <c r="D40" s="1"/>
      <c r="E40" s="1"/>
      <c r="F40" s="1"/>
      <c r="G40" s="1"/>
    </row>
    <row r="41" spans="1:8" ht="15" customHeight="1">
      <c r="A41" s="107" t="s">
        <v>56</v>
      </c>
      <c r="B41" s="78">
        <v>0.38319999999999999</v>
      </c>
      <c r="D41" s="77"/>
    </row>
    <row r="42" spans="1:8" ht="15" customHeight="1">
      <c r="A42" s="67" t="s">
        <v>43</v>
      </c>
      <c r="B42" s="79">
        <v>0.40570000000000001</v>
      </c>
      <c r="D42" s="77"/>
    </row>
    <row r="43" spans="1:8" ht="15" customHeight="1">
      <c r="A43" s="67" t="s">
        <v>44</v>
      </c>
      <c r="B43" s="79">
        <v>0.11609999999999999</v>
      </c>
      <c r="D43" s="77"/>
    </row>
    <row r="44" spans="1:8" ht="15" customHeight="1">
      <c r="A44" s="3" t="s">
        <v>45</v>
      </c>
      <c r="B44" s="79">
        <v>9.5000000000000001E-2</v>
      </c>
      <c r="D44" s="77"/>
    </row>
    <row r="45" spans="1:8" ht="15" customHeight="1" thickBot="1">
      <c r="A45" s="85" t="s">
        <v>46</v>
      </c>
      <c r="B45" s="80">
        <v>0</v>
      </c>
      <c r="D45" s="77"/>
    </row>
    <row r="46" spans="1:8" ht="10.5" customHeight="1" thickBot="1"/>
    <row r="47" spans="1:8" ht="15" customHeight="1" thickBot="1">
      <c r="A47" s="84" t="s">
        <v>2</v>
      </c>
      <c r="B47" s="81">
        <f>SUM(B41:B45)</f>
        <v>0.99999999999999989</v>
      </c>
      <c r="D47" s="77"/>
    </row>
    <row r="48" spans="1:8" ht="20.100000000000001" customHeight="1">
      <c r="A48" s="304" t="s">
        <v>134</v>
      </c>
      <c r="B48" s="21"/>
    </row>
    <row r="49" spans="1:4">
      <c r="A49" s="304"/>
      <c r="B49" s="27"/>
    </row>
    <row r="50" spans="1:4" ht="14.25" customHeight="1"/>
    <row r="51" spans="1:4" s="2" customFormat="1" ht="15" customHeight="1">
      <c r="A51" s="6" t="s">
        <v>136</v>
      </c>
      <c r="B51" s="6"/>
    </row>
    <row r="52" spans="1:4" ht="5.0999999999999996" customHeight="1" thickBot="1"/>
    <row r="53" spans="1:4" s="2" customFormat="1" ht="22.5" customHeight="1">
      <c r="A53" s="411" t="s">
        <v>1</v>
      </c>
      <c r="B53" s="35" t="s">
        <v>6</v>
      </c>
      <c r="C53" s="35"/>
      <c r="D53" s="34"/>
    </row>
    <row r="54" spans="1:4" s="2" customFormat="1" ht="27" customHeight="1">
      <c r="A54" s="412"/>
      <c r="B54" s="36" t="s">
        <v>7</v>
      </c>
      <c r="C54" s="36" t="s">
        <v>8</v>
      </c>
      <c r="D54" s="37" t="s">
        <v>5</v>
      </c>
    </row>
    <row r="55" spans="1:4" ht="15" customHeight="1">
      <c r="A55" s="107" t="s">
        <v>56</v>
      </c>
      <c r="B55" s="24">
        <v>1</v>
      </c>
      <c r="C55" s="24">
        <f>1-B55</f>
        <v>0</v>
      </c>
      <c r="D55" s="8">
        <f>SUM(B55:C55)</f>
        <v>1</v>
      </c>
    </row>
    <row r="56" spans="1:4" ht="15" customHeight="1">
      <c r="A56" s="67" t="s">
        <v>43</v>
      </c>
      <c r="B56" s="25">
        <v>0.75</v>
      </c>
      <c r="C56" s="25">
        <f>1-B56</f>
        <v>0.25</v>
      </c>
      <c r="D56" s="9">
        <f>SUM(B56:C56)</f>
        <v>1</v>
      </c>
    </row>
    <row r="57" spans="1:4" ht="15" customHeight="1">
      <c r="A57" s="67" t="s">
        <v>44</v>
      </c>
      <c r="B57" s="25">
        <v>0.75</v>
      </c>
      <c r="C57" s="25">
        <f>1-B57</f>
        <v>0.25</v>
      </c>
      <c r="D57" s="9">
        <f>SUM(B57:C57)</f>
        <v>1</v>
      </c>
    </row>
    <row r="58" spans="1:4" ht="15" customHeight="1">
      <c r="A58" s="3" t="s">
        <v>45</v>
      </c>
      <c r="B58" s="25">
        <v>0.75</v>
      </c>
      <c r="C58" s="25">
        <f>1-B58</f>
        <v>0.25</v>
      </c>
      <c r="D58" s="9">
        <f>SUM(B58:C58)</f>
        <v>1</v>
      </c>
    </row>
    <row r="59" spans="1:4" ht="15" customHeight="1" thickBot="1">
      <c r="A59" s="85" t="s">
        <v>46</v>
      </c>
      <c r="B59" s="26">
        <v>0.75</v>
      </c>
      <c r="C59" s="26">
        <f>1-B59</f>
        <v>0.25</v>
      </c>
      <c r="D59" s="10">
        <f>SUM(B59:C59)</f>
        <v>1</v>
      </c>
    </row>
    <row r="60" spans="1:4" ht="20.100000000000001" customHeight="1">
      <c r="A60" s="253" t="s">
        <v>135</v>
      </c>
      <c r="B60" s="21"/>
    </row>
    <row r="61" spans="1:4">
      <c r="A61" s="253"/>
      <c r="B61" s="21"/>
    </row>
    <row r="62" spans="1:4" ht="20.100000000000001" customHeight="1">
      <c r="A62" s="6" t="s">
        <v>138</v>
      </c>
      <c r="B62" s="21"/>
    </row>
    <row r="63" spans="1:4">
      <c r="A63" s="20"/>
      <c r="B63" s="27"/>
    </row>
    <row r="64" spans="1:4" ht="18.75" customHeight="1">
      <c r="A64" s="305" t="s">
        <v>139</v>
      </c>
      <c r="B64" s="11"/>
      <c r="C64" s="11"/>
      <c r="D64" s="11"/>
    </row>
    <row r="65" spans="1:12" ht="18.75" customHeight="1" thickBot="1">
      <c r="A65" s="305"/>
      <c r="B65" s="11"/>
      <c r="C65" s="11"/>
      <c r="D65" s="11"/>
    </row>
    <row r="66" spans="1:12" s="2" customFormat="1" ht="18.75" customHeight="1" thickBot="1">
      <c r="A66" s="306" t="s">
        <v>25</v>
      </c>
      <c r="B66" s="307"/>
      <c r="C66" s="308"/>
      <c r="D66" s="308"/>
      <c r="E66" s="308"/>
      <c r="F66" s="43">
        <v>2000</v>
      </c>
    </row>
    <row r="67" spans="1:12" ht="11.25" customHeight="1" thickBot="1">
      <c r="G67" s="2"/>
      <c r="H67" s="2"/>
      <c r="I67" s="2"/>
      <c r="J67" s="2"/>
      <c r="K67" s="2"/>
    </row>
    <row r="68" spans="1:12" customFormat="1" ht="21.75" customHeight="1">
      <c r="A68" s="413" t="s">
        <v>4</v>
      </c>
      <c r="B68" s="35" t="s">
        <v>1</v>
      </c>
      <c r="C68" s="35"/>
      <c r="D68" s="35"/>
      <c r="E68" s="35"/>
      <c r="F68" s="34"/>
      <c r="G68" s="2"/>
      <c r="H68" s="2"/>
      <c r="I68" s="2"/>
      <c r="J68" s="2"/>
      <c r="K68" s="2"/>
    </row>
    <row r="69" spans="1:12" customFormat="1" ht="21.75" customHeight="1">
      <c r="A69" s="414"/>
      <c r="B69" s="36">
        <v>0</v>
      </c>
      <c r="C69" s="36">
        <v>1</v>
      </c>
      <c r="D69" s="36">
        <v>2</v>
      </c>
      <c r="E69" s="36">
        <v>3</v>
      </c>
      <c r="F69" s="37">
        <v>4</v>
      </c>
      <c r="G69" s="2"/>
      <c r="H69" s="2"/>
      <c r="I69" s="2"/>
      <c r="J69" s="2"/>
      <c r="K69" s="2"/>
    </row>
    <row r="70" spans="1:12" customFormat="1" ht="15" customHeight="1">
      <c r="A70" s="22">
        <v>1</v>
      </c>
      <c r="B70" s="44">
        <v>0.33500000000000002</v>
      </c>
      <c r="C70" s="44">
        <v>0.33850000000000002</v>
      </c>
      <c r="D70" s="44">
        <v>0.32300000000000001</v>
      </c>
      <c r="E70" s="44">
        <v>0.3145</v>
      </c>
      <c r="F70" s="45">
        <v>0.32300000000000001</v>
      </c>
      <c r="G70" s="2"/>
      <c r="H70" s="2"/>
      <c r="I70" s="2"/>
      <c r="J70" s="2"/>
      <c r="K70" s="2"/>
      <c r="L70" s="28"/>
    </row>
    <row r="71" spans="1:12" customFormat="1" ht="15" customHeight="1">
      <c r="A71" s="22">
        <v>2</v>
      </c>
      <c r="B71" s="44">
        <v>0.3165</v>
      </c>
      <c r="C71" s="44">
        <v>0.30549999999999999</v>
      </c>
      <c r="D71" s="44">
        <v>0.32100000000000001</v>
      </c>
      <c r="E71" s="44">
        <v>0.28449999999999998</v>
      </c>
      <c r="F71" s="45">
        <v>0.308</v>
      </c>
      <c r="G71" s="2"/>
      <c r="H71" s="2"/>
      <c r="I71" s="2"/>
      <c r="J71" s="2"/>
      <c r="K71" s="2"/>
      <c r="L71" s="28"/>
    </row>
    <row r="72" spans="1:12" customFormat="1" ht="15" customHeight="1">
      <c r="A72" s="22">
        <v>3</v>
      </c>
      <c r="B72" s="44">
        <v>0.124</v>
      </c>
      <c r="C72" s="44">
        <v>0.1925</v>
      </c>
      <c r="D72" s="44">
        <v>0.2145</v>
      </c>
      <c r="E72" s="44">
        <v>0.2235</v>
      </c>
      <c r="F72" s="45">
        <v>0.2175</v>
      </c>
      <c r="G72" s="2"/>
      <c r="H72" s="2"/>
      <c r="I72" s="2"/>
      <c r="J72" s="2"/>
      <c r="K72" s="2"/>
      <c r="L72" s="28"/>
    </row>
    <row r="73" spans="1:12" customFormat="1" ht="15" customHeight="1">
      <c r="A73" s="22">
        <v>4</v>
      </c>
      <c r="B73" s="44">
        <v>0.106</v>
      </c>
      <c r="C73" s="44">
        <v>0.14899999999999999</v>
      </c>
      <c r="D73" s="44">
        <v>0.13400000000000001</v>
      </c>
      <c r="E73" s="44">
        <v>0.158</v>
      </c>
      <c r="F73" s="45">
        <v>0.13800000000000001</v>
      </c>
      <c r="G73" s="2"/>
      <c r="H73" s="2"/>
      <c r="I73" s="2"/>
      <c r="J73" s="2"/>
      <c r="K73" s="2"/>
      <c r="L73" s="28"/>
    </row>
    <row r="74" spans="1:12" customFormat="1" ht="15" customHeight="1">
      <c r="A74" s="22">
        <v>5</v>
      </c>
      <c r="B74" s="44">
        <v>8.5000000000000006E-3</v>
      </c>
      <c r="C74" s="44">
        <v>6.4999999999999997E-3</v>
      </c>
      <c r="D74" s="44">
        <v>3.0000000000000001E-3</v>
      </c>
      <c r="E74" s="44">
        <v>5.4999999999999997E-3</v>
      </c>
      <c r="F74" s="45">
        <v>2E-3</v>
      </c>
      <c r="G74" s="2"/>
      <c r="H74" s="2"/>
      <c r="I74" s="2"/>
      <c r="J74" s="2"/>
      <c r="K74" s="2"/>
      <c r="L74" s="28"/>
    </row>
    <row r="75" spans="1:12" customFormat="1" ht="15" customHeight="1" thickBot="1">
      <c r="A75" s="23">
        <v>6</v>
      </c>
      <c r="B75" s="46">
        <v>0.11</v>
      </c>
      <c r="C75" s="46">
        <v>8.0000000000000002E-3</v>
      </c>
      <c r="D75" s="46">
        <v>4.4999999999999997E-3</v>
      </c>
      <c r="E75" s="46">
        <v>1.4E-2</v>
      </c>
      <c r="F75" s="47">
        <v>1.15E-2</v>
      </c>
      <c r="G75" s="2"/>
      <c r="H75" s="2"/>
      <c r="I75" s="2"/>
      <c r="J75" s="2"/>
      <c r="K75" s="2"/>
      <c r="L75" s="28"/>
    </row>
    <row r="76" spans="1:12" customFormat="1" ht="13.5" thickBot="1">
      <c r="B76" s="28"/>
      <c r="C76" s="28"/>
      <c r="D76" s="28"/>
      <c r="E76" s="28"/>
      <c r="F76" s="28"/>
      <c r="G76" s="2"/>
      <c r="H76" s="2"/>
      <c r="I76" s="2"/>
      <c r="J76" s="2"/>
      <c r="K76" s="2"/>
    </row>
    <row r="77" spans="1:12" customFormat="1" ht="15" customHeight="1" thickBot="1">
      <c r="A77" s="38" t="s">
        <v>2</v>
      </c>
      <c r="B77" s="39">
        <f>SUM(B70:B75)</f>
        <v>0.99999999999999989</v>
      </c>
      <c r="C77" s="39">
        <f>SUM(C70:C75)</f>
        <v>1</v>
      </c>
      <c r="D77" s="39">
        <f>SUM(D70:D75)</f>
        <v>1</v>
      </c>
      <c r="E77" s="39">
        <f>SUM(E70:E75)</f>
        <v>1</v>
      </c>
      <c r="F77" s="40">
        <f>SUM(F70:F75)</f>
        <v>1</v>
      </c>
      <c r="G77" s="2"/>
      <c r="H77" s="2"/>
      <c r="I77" s="2"/>
      <c r="J77" s="2"/>
      <c r="K77" s="2"/>
    </row>
    <row r="78" spans="1:12" ht="20.100000000000001" customHeight="1">
      <c r="A78" s="253" t="s">
        <v>141</v>
      </c>
      <c r="B78" s="48"/>
      <c r="C78" s="49"/>
      <c r="D78" s="49"/>
      <c r="E78" s="49"/>
      <c r="F78" s="49"/>
      <c r="G78" s="2"/>
      <c r="H78" s="2"/>
      <c r="I78" s="2"/>
      <c r="J78" s="2"/>
      <c r="K78" s="2"/>
    </row>
    <row r="79" spans="1:12">
      <c r="A79" s="253"/>
      <c r="B79" s="48"/>
      <c r="C79" s="49"/>
      <c r="D79" s="49"/>
      <c r="E79" s="49"/>
      <c r="F79" s="49"/>
      <c r="G79" s="2"/>
      <c r="H79" s="2"/>
      <c r="I79" s="2"/>
      <c r="J79" s="2"/>
      <c r="K79" s="2"/>
    </row>
    <row r="80" spans="1:12" ht="20.100000000000001" customHeight="1">
      <c r="A80" s="305" t="s">
        <v>140</v>
      </c>
      <c r="B80" s="27"/>
    </row>
    <row r="81" spans="1:11" ht="13.5" thickBot="1">
      <c r="A81" s="20"/>
      <c r="B81" s="27"/>
    </row>
    <row r="82" spans="1:11" s="2" customFormat="1" ht="15.75" customHeight="1" thickBot="1">
      <c r="A82" s="306" t="s">
        <v>25</v>
      </c>
      <c r="B82" s="307"/>
      <c r="C82" s="308"/>
      <c r="D82" s="308"/>
      <c r="E82" s="308"/>
      <c r="F82" s="43">
        <f>F66</f>
        <v>2000</v>
      </c>
    </row>
    <row r="83" spans="1:11" ht="13.5" customHeight="1" thickBot="1">
      <c r="G83" s="2"/>
      <c r="H83" s="2"/>
      <c r="I83" s="2"/>
      <c r="J83" s="2"/>
      <c r="K83" s="2"/>
    </row>
    <row r="84" spans="1:11" customFormat="1" ht="18.75" customHeight="1">
      <c r="A84" s="413" t="s">
        <v>4</v>
      </c>
      <c r="B84" s="35" t="s">
        <v>1</v>
      </c>
      <c r="C84" s="35"/>
      <c r="D84" s="35"/>
      <c r="E84" s="35"/>
      <c r="F84" s="34"/>
      <c r="G84" s="2"/>
      <c r="H84" s="2"/>
      <c r="I84" s="2"/>
      <c r="J84" s="2"/>
      <c r="K84" s="2"/>
    </row>
    <row r="85" spans="1:11" customFormat="1" ht="18.75" customHeight="1">
      <c r="A85" s="414"/>
      <c r="B85" s="36">
        <v>0</v>
      </c>
      <c r="C85" s="36">
        <v>1</v>
      </c>
      <c r="D85" s="36">
        <v>2</v>
      </c>
      <c r="E85" s="36">
        <v>3</v>
      </c>
      <c r="F85" s="37">
        <v>4</v>
      </c>
      <c r="G85" s="2"/>
      <c r="H85" s="2"/>
      <c r="I85" s="2"/>
      <c r="J85" s="2"/>
      <c r="K85" s="2"/>
    </row>
    <row r="86" spans="1:11" customFormat="1" ht="15" customHeight="1">
      <c r="A86" s="22">
        <v>1</v>
      </c>
      <c r="B86" s="44">
        <v>0.33500000000000002</v>
      </c>
      <c r="C86" s="44">
        <v>0.33850000000000002</v>
      </c>
      <c r="D86" s="44">
        <v>0.32300000000000001</v>
      </c>
      <c r="E86" s="44">
        <v>0.3145</v>
      </c>
      <c r="F86" s="45">
        <v>0.32300000000000001</v>
      </c>
      <c r="G86" s="61"/>
      <c r="H86" s="61"/>
      <c r="I86" s="61"/>
      <c r="J86" s="61"/>
      <c r="K86" s="2"/>
    </row>
    <row r="87" spans="1:11" customFormat="1" ht="15" customHeight="1">
      <c r="A87" s="22">
        <v>2</v>
      </c>
      <c r="B87" s="44">
        <v>0.3165</v>
      </c>
      <c r="C87" s="44">
        <v>0.30549999999999999</v>
      </c>
      <c r="D87" s="44">
        <v>0.32100000000000001</v>
      </c>
      <c r="E87" s="44">
        <v>0.28449999999999998</v>
      </c>
      <c r="F87" s="45">
        <v>0.308</v>
      </c>
      <c r="G87" s="2"/>
      <c r="H87" s="2"/>
      <c r="I87" s="2"/>
      <c r="J87" s="2"/>
      <c r="K87" s="2"/>
    </row>
    <row r="88" spans="1:11" customFormat="1" ht="15" customHeight="1">
      <c r="A88" s="22">
        <v>3</v>
      </c>
      <c r="B88" s="44">
        <v>0.124</v>
      </c>
      <c r="C88" s="44">
        <v>0.1925</v>
      </c>
      <c r="D88" s="44">
        <v>0.2145</v>
      </c>
      <c r="E88" s="44">
        <v>0.2235</v>
      </c>
      <c r="F88" s="45">
        <v>0.2175</v>
      </c>
      <c r="G88" s="2"/>
      <c r="H88" s="2"/>
      <c r="I88" s="2"/>
      <c r="J88" s="2"/>
      <c r="K88" s="2"/>
    </row>
    <row r="89" spans="1:11" customFormat="1" ht="15" customHeight="1">
      <c r="A89" s="22">
        <v>4</v>
      </c>
      <c r="B89" s="44">
        <v>0.106</v>
      </c>
      <c r="C89" s="44">
        <v>0.14899999999999999</v>
      </c>
      <c r="D89" s="44">
        <v>0.13400000000000001</v>
      </c>
      <c r="E89" s="44">
        <v>0.158</v>
      </c>
      <c r="F89" s="45">
        <v>0.13800000000000001</v>
      </c>
      <c r="G89" s="2"/>
      <c r="H89" s="2"/>
      <c r="I89" s="2"/>
      <c r="J89" s="2"/>
      <c r="K89" s="2"/>
    </row>
    <row r="90" spans="1:11" customFormat="1" ht="15" customHeight="1">
      <c r="A90" s="22">
        <v>5</v>
      </c>
      <c r="B90" s="44">
        <v>8.5000000000000006E-3</v>
      </c>
      <c r="C90" s="44">
        <v>6.4999999999999997E-3</v>
      </c>
      <c r="D90" s="44">
        <v>3.0000000000000001E-3</v>
      </c>
      <c r="E90" s="44">
        <v>5.4999999999999997E-3</v>
      </c>
      <c r="F90" s="45">
        <v>2E-3</v>
      </c>
      <c r="G90" s="2"/>
      <c r="H90" s="2"/>
      <c r="I90" s="2"/>
      <c r="J90" s="2"/>
      <c r="K90" s="2"/>
    </row>
    <row r="91" spans="1:11" customFormat="1" ht="15" customHeight="1" thickBot="1">
      <c r="A91" s="23">
        <v>6</v>
      </c>
      <c r="B91" s="46">
        <v>0.11</v>
      </c>
      <c r="C91" s="46">
        <v>8.0000000000000002E-3</v>
      </c>
      <c r="D91" s="46">
        <v>4.4999999999999997E-3</v>
      </c>
      <c r="E91" s="46">
        <v>1.4E-2</v>
      </c>
      <c r="F91" s="47">
        <v>1.15E-2</v>
      </c>
      <c r="G91" s="2"/>
      <c r="H91" s="2"/>
      <c r="I91" s="2"/>
      <c r="J91" s="2"/>
      <c r="K91" s="2"/>
    </row>
    <row r="92" spans="1:11" customFormat="1" ht="13.5" thickBot="1">
      <c r="B92" s="29"/>
      <c r="C92" s="29"/>
      <c r="D92" s="29"/>
      <c r="E92" s="29"/>
      <c r="F92" s="29"/>
      <c r="G92" s="2"/>
      <c r="H92" s="2"/>
      <c r="I92" s="2"/>
      <c r="J92" s="2"/>
      <c r="K92" s="2"/>
    </row>
    <row r="93" spans="1:11" customFormat="1" ht="15" customHeight="1" thickBot="1">
      <c r="A93" s="38" t="s">
        <v>2</v>
      </c>
      <c r="B93" s="39">
        <f>SUM(B86:B91)</f>
        <v>0.99999999999999989</v>
      </c>
      <c r="C93" s="39">
        <f>SUM(C86:C91)</f>
        <v>1</v>
      </c>
      <c r="D93" s="39">
        <f>SUM(D86:D91)</f>
        <v>1</v>
      </c>
      <c r="E93" s="39">
        <f>SUM(E86:E91)</f>
        <v>1</v>
      </c>
      <c r="F93" s="40">
        <f>SUM(F86:F91)</f>
        <v>1</v>
      </c>
      <c r="G93" s="2"/>
      <c r="H93" s="2"/>
      <c r="I93" s="2"/>
      <c r="J93" s="2"/>
      <c r="K93" s="2"/>
    </row>
    <row r="94" spans="1:11">
      <c r="A94" s="253" t="s">
        <v>141</v>
      </c>
      <c r="B94" s="254"/>
      <c r="G94" s="2"/>
      <c r="H94" s="2"/>
      <c r="I94" s="2"/>
      <c r="J94" s="2"/>
      <c r="K94" s="2"/>
    </row>
    <row r="95" spans="1:11">
      <c r="A95" s="253"/>
      <c r="B95" s="27"/>
    </row>
    <row r="96" spans="1:11">
      <c r="A96" s="20"/>
      <c r="B96" s="19"/>
    </row>
    <row r="97" spans="1:14" s="2" customFormat="1" ht="20.100000000000001" customHeight="1">
      <c r="A97" s="6" t="s">
        <v>23</v>
      </c>
      <c r="B97" s="6"/>
      <c r="K97" s="1"/>
    </row>
    <row r="98" spans="1:14" ht="20.100000000000001" customHeight="1" thickBot="1">
      <c r="C98" s="403"/>
      <c r="D98" s="403"/>
      <c r="E98" s="403"/>
      <c r="F98" s="403"/>
      <c r="G98" s="403"/>
      <c r="H98" s="403"/>
      <c r="I98" s="403"/>
    </row>
    <row r="99" spans="1:14" s="2" customFormat="1" ht="20.100000000000001" customHeight="1">
      <c r="A99" s="413" t="s">
        <v>58</v>
      </c>
      <c r="B99" s="409" t="s">
        <v>114</v>
      </c>
      <c r="C99" s="35" t="s">
        <v>4</v>
      </c>
      <c r="D99" s="35"/>
      <c r="E99" s="35"/>
      <c r="F99" s="35"/>
      <c r="G99" s="35"/>
      <c r="H99" s="35"/>
      <c r="I99" s="34"/>
    </row>
    <row r="100" spans="1:14" s="2" customFormat="1" ht="20.100000000000001" customHeight="1">
      <c r="A100" s="414"/>
      <c r="B100" s="410"/>
      <c r="C100" s="36">
        <v>1</v>
      </c>
      <c r="D100" s="36">
        <v>2</v>
      </c>
      <c r="E100" s="36">
        <v>3</v>
      </c>
      <c r="F100" s="36">
        <v>4</v>
      </c>
      <c r="G100" s="36">
        <v>5</v>
      </c>
      <c r="H100" s="36">
        <v>6</v>
      </c>
      <c r="I100" s="37" t="s">
        <v>5</v>
      </c>
    </row>
    <row r="101" spans="1:14" ht="20.100000000000001" customHeight="1">
      <c r="A101" s="7" t="s">
        <v>57</v>
      </c>
      <c r="B101" s="250" t="s">
        <v>115</v>
      </c>
      <c r="C101" s="64">
        <v>8533.2051586665566</v>
      </c>
      <c r="D101" s="12">
        <v>10394.379199661989</v>
      </c>
      <c r="E101" s="12">
        <v>8195.0826304869242</v>
      </c>
      <c r="F101" s="12">
        <v>9422.709952404779</v>
      </c>
      <c r="G101" s="12">
        <v>3929.5447192516372</v>
      </c>
      <c r="H101" s="12">
        <v>35778.582366504394</v>
      </c>
      <c r="I101" s="15">
        <f>SUM(C101:H101)</f>
        <v>76253.504026976283</v>
      </c>
    </row>
    <row r="102" spans="1:14" ht="20.100000000000001" customHeight="1">
      <c r="A102" s="7" t="s">
        <v>57</v>
      </c>
      <c r="B102" s="251" t="s">
        <v>116</v>
      </c>
      <c r="C102" s="64">
        <v>4607.9479302478485</v>
      </c>
      <c r="D102" s="12">
        <v>5201.6964611599087</v>
      </c>
      <c r="E102" s="12">
        <v>4684.3847858540521</v>
      </c>
      <c r="F102" s="12">
        <v>5320.2060272031731</v>
      </c>
      <c r="G102" s="12">
        <v>2082.4564808331947</v>
      </c>
      <c r="H102" s="12">
        <v>15309.911829754052</v>
      </c>
      <c r="I102" s="15">
        <f t="shared" ref="I102:I106" si="0">SUM(C102:H102)</f>
        <v>37206.603515052229</v>
      </c>
    </row>
    <row r="103" spans="1:14" ht="21" customHeight="1">
      <c r="A103" s="7" t="s">
        <v>43</v>
      </c>
      <c r="B103" s="251" t="s">
        <v>117</v>
      </c>
      <c r="C103" s="64">
        <v>7468.3471846854691</v>
      </c>
      <c r="D103" s="12">
        <v>8948.8967835110234</v>
      </c>
      <c r="E103" s="12">
        <v>8472.2320976786013</v>
      </c>
      <c r="F103" s="12">
        <v>9871.5158633370811</v>
      </c>
      <c r="G103" s="12">
        <v>4084.2451306626667</v>
      </c>
      <c r="H103" s="12">
        <v>32492.983797259869</v>
      </c>
      <c r="I103" s="15">
        <f t="shared" si="0"/>
        <v>71338.220857134715</v>
      </c>
    </row>
    <row r="104" spans="1:14" ht="21.75" customHeight="1">
      <c r="A104" s="7" t="s">
        <v>44</v>
      </c>
      <c r="B104" s="251" t="s">
        <v>118</v>
      </c>
      <c r="C104" s="64">
        <v>2101.8791657405222</v>
      </c>
      <c r="D104" s="12">
        <v>2704.8664427607878</v>
      </c>
      <c r="E104" s="12">
        <v>2457.7399532876047</v>
      </c>
      <c r="F104" s="12">
        <v>2923.272793283646</v>
      </c>
      <c r="G104" s="12">
        <v>1287.9881585809726</v>
      </c>
      <c r="H104" s="12">
        <v>11629.72983167711</v>
      </c>
      <c r="I104" s="15">
        <f t="shared" si="0"/>
        <v>23105.476345330644</v>
      </c>
    </row>
    <row r="105" spans="1:14" ht="17.25" customHeight="1">
      <c r="A105" s="7" t="s">
        <v>45</v>
      </c>
      <c r="B105" s="251" t="s">
        <v>119</v>
      </c>
      <c r="C105" s="64">
        <v>790.55614979970585</v>
      </c>
      <c r="D105" s="12">
        <v>1038.5791062729738</v>
      </c>
      <c r="E105" s="12">
        <v>991.33991261651613</v>
      </c>
      <c r="F105" s="12">
        <v>1201.6073963746678</v>
      </c>
      <c r="G105" s="12">
        <v>529.28494387285753</v>
      </c>
      <c r="H105" s="255">
        <v>5459.1405518982247</v>
      </c>
      <c r="I105" s="62">
        <f t="shared" si="0"/>
        <v>10010.508060834945</v>
      </c>
    </row>
    <row r="106" spans="1:14" ht="20.25" customHeight="1" thickBot="1">
      <c r="A106" s="66" t="s">
        <v>46</v>
      </c>
      <c r="B106" s="252" t="s">
        <v>120</v>
      </c>
      <c r="C106" s="65">
        <v>1804.2547098952557</v>
      </c>
      <c r="D106" s="13">
        <v>2436.6477854317809</v>
      </c>
      <c r="E106" s="13">
        <v>2291.5095370804761</v>
      </c>
      <c r="F106" s="13">
        <v>2808.1798028088506</v>
      </c>
      <c r="G106" s="13">
        <v>1279.3245004632413</v>
      </c>
      <c r="H106" s="256">
        <v>13846.042498536295</v>
      </c>
      <c r="I106" s="63">
        <f t="shared" si="0"/>
        <v>24465.958834215897</v>
      </c>
    </row>
    <row r="107" spans="1:14" ht="8.25" customHeight="1" thickBot="1">
      <c r="C107" s="16"/>
    </row>
    <row r="108" spans="1:14" ht="19.5" customHeight="1" thickBot="1">
      <c r="A108" s="38" t="s">
        <v>2</v>
      </c>
      <c r="B108" s="69"/>
      <c r="C108" s="41">
        <f>SUM(C101:C106)</f>
        <v>25306.190299035359</v>
      </c>
      <c r="D108" s="41">
        <f t="shared" ref="D108:H108" si="1">SUM(D101:D106)</f>
        <v>30725.065778798464</v>
      </c>
      <c r="E108" s="41">
        <f t="shared" si="1"/>
        <v>27092.288917004178</v>
      </c>
      <c r="F108" s="41">
        <f t="shared" si="1"/>
        <v>31547.491835412198</v>
      </c>
      <c r="G108" s="41">
        <f t="shared" si="1"/>
        <v>13192.84393366457</v>
      </c>
      <c r="H108" s="41">
        <f t="shared" si="1"/>
        <v>114516.39087562994</v>
      </c>
      <c r="I108" s="42">
        <f>SUM(I101:I106)</f>
        <v>242380.27163954469</v>
      </c>
    </row>
    <row r="109" spans="1:14">
      <c r="A109" s="20"/>
      <c r="I109" s="51"/>
    </row>
    <row r="110" spans="1:14">
      <c r="A110" s="20"/>
      <c r="B110" s="19"/>
      <c r="H110" s="52"/>
      <c r="I110" s="68"/>
      <c r="J110" s="68"/>
      <c r="K110" s="68"/>
      <c r="L110" s="68"/>
      <c r="M110" s="68"/>
      <c r="N110" s="68"/>
    </row>
    <row r="111" spans="1:14">
      <c r="I111" s="14"/>
      <c r="J111" s="14"/>
      <c r="K111" s="14"/>
      <c r="L111" s="14"/>
      <c r="M111" s="14"/>
      <c r="N111" s="14"/>
    </row>
    <row r="112" spans="1:14" s="2" customFormat="1" ht="15" customHeight="1">
      <c r="A112" s="6" t="s">
        <v>24</v>
      </c>
      <c r="B112" s="6"/>
      <c r="I112" s="16"/>
      <c r="J112" s="16"/>
      <c r="K112" s="16"/>
      <c r="L112" s="16"/>
      <c r="M112" s="16"/>
      <c r="N112" s="16"/>
    </row>
    <row r="113" spans="1:9" ht="5.0999999999999996" customHeight="1" thickBot="1">
      <c r="I113" s="2"/>
    </row>
    <row r="114" spans="1:9" s="2" customFormat="1" ht="20.100000000000001" customHeight="1">
      <c r="A114" s="413" t="s">
        <v>58</v>
      </c>
      <c r="B114" s="409" t="s">
        <v>114</v>
      </c>
      <c r="C114" s="35" t="s">
        <v>4</v>
      </c>
      <c r="D114" s="35"/>
      <c r="E114" s="35"/>
      <c r="F114" s="35"/>
      <c r="G114" s="35"/>
      <c r="H114" s="34"/>
    </row>
    <row r="115" spans="1:9" s="2" customFormat="1" ht="20.100000000000001" customHeight="1">
      <c r="A115" s="414"/>
      <c r="B115" s="410"/>
      <c r="C115" s="36">
        <v>1</v>
      </c>
      <c r="D115" s="36">
        <v>2</v>
      </c>
      <c r="E115" s="36">
        <v>3</v>
      </c>
      <c r="F115" s="36">
        <v>4</v>
      </c>
      <c r="G115" s="36">
        <v>5</v>
      </c>
      <c r="H115" s="37">
        <v>6</v>
      </c>
    </row>
    <row r="116" spans="1:9" ht="15" customHeight="1">
      <c r="A116" s="7" t="s">
        <v>57</v>
      </c>
      <c r="B116" s="250" t="s">
        <v>115</v>
      </c>
      <c r="C116" s="64">
        <v>121319.02845664944</v>
      </c>
      <c r="D116" s="12">
        <v>121319.02845664944</v>
      </c>
      <c r="E116" s="12">
        <v>121319.02845664944</v>
      </c>
      <c r="F116" s="12">
        <v>121319.02845664944</v>
      </c>
      <c r="G116" s="12">
        <v>121319.02845664944</v>
      </c>
      <c r="H116" s="257">
        <v>121356.77981305527</v>
      </c>
    </row>
    <row r="117" spans="1:9" ht="15" customHeight="1">
      <c r="A117" s="7" t="s">
        <v>57</v>
      </c>
      <c r="B117" s="251" t="s">
        <v>116</v>
      </c>
      <c r="C117" s="64">
        <v>19721.721595485928</v>
      </c>
      <c r="D117" s="12">
        <v>21761.139187461882</v>
      </c>
      <c r="E117" s="12">
        <v>21783.296032720809</v>
      </c>
      <c r="F117" s="12">
        <v>21783.296032720809</v>
      </c>
      <c r="G117" s="12">
        <v>21783.296032720809</v>
      </c>
      <c r="H117" s="257">
        <v>21783.296032720809</v>
      </c>
    </row>
    <row r="118" spans="1:9" ht="15" customHeight="1">
      <c r="A118" s="7" t="s">
        <v>43</v>
      </c>
      <c r="B118" s="251" t="s">
        <v>117</v>
      </c>
      <c r="C118" s="64">
        <v>17510.132456305215</v>
      </c>
      <c r="D118" s="12">
        <v>18456.98973829022</v>
      </c>
      <c r="E118" s="12">
        <v>19464.845827412613</v>
      </c>
      <c r="F118" s="12">
        <v>19561.112087931368</v>
      </c>
      <c r="G118" s="12">
        <v>19698.13930389845</v>
      </c>
      <c r="H118" s="257">
        <v>25284.779973840949</v>
      </c>
    </row>
    <row r="119" spans="1:9" ht="15" customHeight="1">
      <c r="A119" s="7" t="s">
        <v>44</v>
      </c>
      <c r="B119" s="251" t="s">
        <v>118</v>
      </c>
      <c r="C119" s="64">
        <v>4183.3316944857024</v>
      </c>
      <c r="D119" s="12">
        <v>4347.9986957044421</v>
      </c>
      <c r="E119" s="12">
        <v>4395.5410423346093</v>
      </c>
      <c r="F119" s="12">
        <v>4422.375830001577</v>
      </c>
      <c r="G119" s="12">
        <v>4456.8615332976051</v>
      </c>
      <c r="H119" s="257">
        <v>5899.0255156321273</v>
      </c>
    </row>
    <row r="120" spans="1:9" ht="15" customHeight="1">
      <c r="A120" s="7" t="s">
        <v>45</v>
      </c>
      <c r="B120" s="251" t="s">
        <v>119</v>
      </c>
      <c r="C120" s="64">
        <v>1669.9463366666669</v>
      </c>
      <c r="D120" s="12">
        <v>1768.1050016666668</v>
      </c>
      <c r="E120" s="12">
        <v>1787.6421758333333</v>
      </c>
      <c r="F120" s="12">
        <v>1862.4063808333333</v>
      </c>
      <c r="G120" s="12">
        <v>1889.0118641666668</v>
      </c>
      <c r="H120" s="257">
        <v>2368.7178866666663</v>
      </c>
    </row>
    <row r="121" spans="1:9" ht="15" customHeight="1" thickBot="1">
      <c r="A121" s="66" t="s">
        <v>46</v>
      </c>
      <c r="B121" s="252" t="s">
        <v>120</v>
      </c>
      <c r="C121" s="65">
        <v>3582.8425404093214</v>
      </c>
      <c r="D121" s="13">
        <v>3806.8606302146623</v>
      </c>
      <c r="E121" s="13">
        <v>4001.8944810373905</v>
      </c>
      <c r="F121" s="13">
        <v>4123.8227338844481</v>
      </c>
      <c r="G121" s="13">
        <v>4265.5908366108406</v>
      </c>
      <c r="H121" s="258">
        <v>5020.1609718263144</v>
      </c>
    </row>
    <row r="122" spans="1:9" ht="10.5" customHeight="1" thickBot="1">
      <c r="C122" s="2"/>
    </row>
    <row r="123" spans="1:9" ht="15" customHeight="1" thickBot="1">
      <c r="A123" s="38" t="s">
        <v>2</v>
      </c>
      <c r="B123" s="69"/>
      <c r="C123" s="41">
        <f>SUM(C116:C122)</f>
        <v>167987.00308000229</v>
      </c>
      <c r="D123" s="41">
        <f t="shared" ref="D123:H123" si="2">SUM(D116:D122)</f>
        <v>171460.12170998732</v>
      </c>
      <c r="E123" s="41">
        <f t="shared" si="2"/>
        <v>172752.24801598821</v>
      </c>
      <c r="F123" s="41">
        <f t="shared" si="2"/>
        <v>173072.04152202097</v>
      </c>
      <c r="G123" s="41">
        <f t="shared" si="2"/>
        <v>173411.92802734382</v>
      </c>
      <c r="H123" s="42">
        <f t="shared" si="2"/>
        <v>181712.76019374214</v>
      </c>
    </row>
    <row r="124" spans="1:9">
      <c r="A124" s="253" t="s">
        <v>10</v>
      </c>
      <c r="B124" s="21" t="s">
        <v>36</v>
      </c>
      <c r="C124" s="17"/>
      <c r="D124" s="17"/>
      <c r="E124" s="17"/>
      <c r="F124" s="17"/>
      <c r="G124" s="17"/>
      <c r="H124" s="17"/>
    </row>
    <row r="125" spans="1:9">
      <c r="A125" s="253"/>
      <c r="B125" s="19"/>
      <c r="C125" s="403"/>
      <c r="D125" s="403"/>
      <c r="E125" s="403"/>
      <c r="F125" s="403"/>
      <c r="G125" s="403"/>
      <c r="H125" s="403"/>
    </row>
    <row r="126" spans="1:9">
      <c r="C126" s="403"/>
      <c r="D126" s="403"/>
      <c r="E126" s="403"/>
      <c r="F126" s="403"/>
      <c r="G126" s="403"/>
      <c r="H126" s="403"/>
      <c r="I126" s="2"/>
    </row>
    <row r="127" spans="1:9">
      <c r="C127" s="403"/>
      <c r="D127" s="403"/>
      <c r="E127" s="403"/>
      <c r="F127" s="403"/>
      <c r="G127" s="403"/>
      <c r="H127" s="403"/>
    </row>
    <row r="128" spans="1:9">
      <c r="C128" s="403"/>
      <c r="D128" s="403"/>
      <c r="E128" s="403"/>
      <c r="F128" s="403"/>
      <c r="G128" s="403"/>
      <c r="H128" s="403"/>
    </row>
    <row r="129" spans="3:8">
      <c r="C129" s="403"/>
      <c r="D129" s="403"/>
      <c r="E129" s="403"/>
      <c r="F129" s="403"/>
      <c r="G129" s="403"/>
      <c r="H129" s="403"/>
    </row>
    <row r="130" spans="3:8">
      <c r="C130" s="403"/>
      <c r="D130" s="403"/>
      <c r="E130" s="403"/>
      <c r="F130" s="403"/>
      <c r="G130" s="403"/>
      <c r="H130" s="403"/>
    </row>
    <row r="131" spans="3:8">
      <c r="C131" s="403"/>
      <c r="D131" s="403"/>
      <c r="E131" s="403"/>
      <c r="F131" s="403"/>
      <c r="G131" s="403"/>
      <c r="H131" s="403"/>
    </row>
  </sheetData>
  <mergeCells count="9">
    <mergeCell ref="A14:B14"/>
    <mergeCell ref="A30:B30"/>
    <mergeCell ref="B114:B115"/>
    <mergeCell ref="A53:A54"/>
    <mergeCell ref="A99:A100"/>
    <mergeCell ref="B99:B100"/>
    <mergeCell ref="A114:A115"/>
    <mergeCell ref="A68:A69"/>
    <mergeCell ref="A84:A85"/>
  </mergeCells>
  <phoneticPr fontId="18" type="noConversion"/>
  <conditionalFormatting sqref="L70:L75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6:K36"/>
  <sheetViews>
    <sheetView showGridLines="0" workbookViewId="0"/>
  </sheetViews>
  <sheetFormatPr baseColWidth="10" defaultRowHeight="12.75"/>
  <cols>
    <col min="2" max="5" width="12.85546875" bestFit="1" customWidth="1"/>
    <col min="6" max="6" width="11.85546875" bestFit="1" customWidth="1"/>
    <col min="7" max="7" width="12.85546875" bestFit="1" customWidth="1"/>
  </cols>
  <sheetData>
    <row r="6" spans="1:7" ht="15">
      <c r="A6" s="167" t="s">
        <v>156</v>
      </c>
    </row>
    <row r="7" spans="1:7" ht="13.5" thickBot="1"/>
    <row r="8" spans="1:7" ht="25.5" customHeight="1" thickBot="1">
      <c r="B8" s="242" t="s">
        <v>113</v>
      </c>
      <c r="C8" s="243"/>
      <c r="D8" s="243"/>
      <c r="E8" s="243"/>
      <c r="F8" s="243"/>
      <c r="G8" s="244"/>
    </row>
    <row r="9" spans="1:7" ht="13.5" thickBot="1"/>
    <row r="10" spans="1:7" ht="24.95" customHeight="1">
      <c r="A10" s="433" t="s">
        <v>60</v>
      </c>
      <c r="B10" s="227" t="s">
        <v>161</v>
      </c>
      <c r="C10" s="227"/>
      <c r="D10" s="227"/>
      <c r="E10" s="227"/>
      <c r="F10" s="227"/>
      <c r="G10" s="228"/>
    </row>
    <row r="11" spans="1:7" ht="24.95" customHeight="1">
      <c r="A11" s="434"/>
      <c r="B11" s="229" t="s">
        <v>17</v>
      </c>
      <c r="C11" s="229" t="s">
        <v>18</v>
      </c>
      <c r="D11" s="229" t="s">
        <v>19</v>
      </c>
      <c r="E11" s="229" t="s">
        <v>20</v>
      </c>
      <c r="F11" s="229" t="s">
        <v>21</v>
      </c>
      <c r="G11" s="230" t="s">
        <v>22</v>
      </c>
    </row>
    <row r="12" spans="1:7" ht="15" customHeight="1">
      <c r="A12" s="233" t="s">
        <v>12</v>
      </c>
      <c r="B12" s="373">
        <f>'III. Metodología de asignación'!J88</f>
        <v>0</v>
      </c>
      <c r="C12" s="234">
        <f>'III. Metodología de asignación'!K88</f>
        <v>0</v>
      </c>
      <c r="D12" s="234">
        <f>'III. Metodología de asignación'!L88</f>
        <v>0</v>
      </c>
      <c r="E12" s="234">
        <f>'III. Metodología de asignación'!M88</f>
        <v>0</v>
      </c>
      <c r="F12" s="234">
        <f>'III. Metodología de asignación'!N88</f>
        <v>0</v>
      </c>
      <c r="G12" s="235">
        <f>'III. Metodología de asignación'!O88</f>
        <v>0</v>
      </c>
    </row>
    <row r="13" spans="1:7" ht="15" customHeight="1">
      <c r="A13" s="236" t="s">
        <v>13</v>
      </c>
      <c r="B13" s="374">
        <f>'III. Metodología de asignación'!J89</f>
        <v>64747.943772841587</v>
      </c>
      <c r="C13" s="237">
        <f>'III. Metodología de asignación'!K89</f>
        <v>58980.439384817517</v>
      </c>
      <c r="D13" s="237">
        <f>'III. Metodología de asignación'!L89</f>
        <v>38194.471870965841</v>
      </c>
      <c r="E13" s="237">
        <f>'III. Metodología de asignación'!M89</f>
        <v>30491.716169652129</v>
      </c>
      <c r="F13" s="237">
        <f>'III. Metodología de asignación'!N89</f>
        <v>1357.2495895230052</v>
      </c>
      <c r="G13" s="238">
        <f>'III. Metodología de asignación'!O89</f>
        <v>1628.8781803483109</v>
      </c>
    </row>
    <row r="14" spans="1:7" ht="15" customHeight="1">
      <c r="A14" s="236" t="s">
        <v>14</v>
      </c>
      <c r="B14" s="374">
        <f>'III. Metodología de asignación'!J91</f>
        <v>8019.517179615329</v>
      </c>
      <c r="C14" s="237">
        <f>'III. Metodología de asignación'!K91</f>
        <v>8248.3691926591982</v>
      </c>
      <c r="D14" s="237">
        <f>'III. Metodología de asignación'!L91</f>
        <v>5791.9260625777124</v>
      </c>
      <c r="E14" s="237">
        <f>'III. Metodología de asignación'!M91</f>
        <v>3758.7326434457891</v>
      </c>
      <c r="F14" s="237">
        <f>'III. Metodología de asignación'!N91</f>
        <v>85.79760871047776</v>
      </c>
      <c r="G14" s="238">
        <f>'III. Metodología de asignación'!O91</f>
        <v>133.54076586359687</v>
      </c>
    </row>
    <row r="15" spans="1:7" ht="15" customHeight="1">
      <c r="A15" s="236" t="s">
        <v>15</v>
      </c>
      <c r="B15" s="374">
        <f>'III. Metodología de asignación'!J94</f>
        <v>3150.4731444980257</v>
      </c>
      <c r="C15" s="237">
        <f>'III. Metodología de asignación'!K94</f>
        <v>3052.063172455425</v>
      </c>
      <c r="D15" s="237">
        <f>'III. Metodología de asignación'!L94</f>
        <v>2638.0750631556975</v>
      </c>
      <c r="E15" s="237">
        <f>'III. Metodología de asignación'!M94</f>
        <v>1951.6473045392456</v>
      </c>
      <c r="F15" s="237">
        <f>'III. Metodología de asignación'!N94</f>
        <v>68.470421335713269</v>
      </c>
      <c r="G15" s="238">
        <f>'III. Metodología de asignación'!O94</f>
        <v>225.0976613080098</v>
      </c>
    </row>
    <row r="16" spans="1:7" s="370" customFormat="1" ht="15" customHeight="1" thickBot="1">
      <c r="A16" s="367" t="s">
        <v>16</v>
      </c>
      <c r="B16" s="375">
        <f>'III. Metodología de asignación'!J98</f>
        <v>12441.801478881715</v>
      </c>
      <c r="C16" s="368">
        <f>'III. Metodología de asignación'!K98</f>
        <v>12994.578738095941</v>
      </c>
      <c r="D16" s="368">
        <f>'III. Metodología de asignación'!L98</f>
        <v>10513.768539362687</v>
      </c>
      <c r="E16" s="368">
        <f>'III. Metodología de asignación'!M98</f>
        <v>7026.139036096135</v>
      </c>
      <c r="F16" s="368">
        <f>'III. Metodología de asignación'!N98</f>
        <v>103.22237017465683</v>
      </c>
      <c r="G16" s="369">
        <f>'III. Metodología de asignación'!O98</f>
        <v>689.18800565872323</v>
      </c>
    </row>
    <row r="17" spans="1:11">
      <c r="G17" s="300"/>
    </row>
    <row r="18" spans="1:11" ht="13.5" thickBot="1"/>
    <row r="19" spans="1:11" ht="24" customHeight="1">
      <c r="A19" s="433" t="s">
        <v>60</v>
      </c>
      <c r="B19" s="227" t="s">
        <v>130</v>
      </c>
      <c r="C19" s="227"/>
      <c r="D19" s="227"/>
      <c r="E19" s="227"/>
      <c r="F19" s="227"/>
      <c r="G19" s="228"/>
    </row>
    <row r="20" spans="1:11" ht="24" customHeight="1">
      <c r="A20" s="434"/>
      <c r="B20" s="229" t="s">
        <v>17</v>
      </c>
      <c r="C20" s="229" t="s">
        <v>18</v>
      </c>
      <c r="D20" s="229" t="s">
        <v>19</v>
      </c>
      <c r="E20" s="229" t="s">
        <v>20</v>
      </c>
      <c r="F20" s="229" t="s">
        <v>21</v>
      </c>
      <c r="G20" s="230" t="s">
        <v>22</v>
      </c>
    </row>
    <row r="21" spans="1:11" ht="15" customHeight="1">
      <c r="A21" s="233" t="s">
        <v>12</v>
      </c>
      <c r="B21" s="373">
        <f>('I. Datos de entrada'!C101+'I. Datos de entrada'!C102)*1000</f>
        <v>13141153.088914406</v>
      </c>
      <c r="C21" s="234">
        <f>('I. Datos de entrada'!D101+'I. Datos de entrada'!D102)*1000</f>
        <v>15596075.660821898</v>
      </c>
      <c r="D21" s="234">
        <f>('I. Datos de entrada'!E101+'I. Datos de entrada'!E102)*1000</f>
        <v>12879467.416340977</v>
      </c>
      <c r="E21" s="234">
        <f>('I. Datos de entrada'!F101+'I. Datos de entrada'!F102)*1000</f>
        <v>14742915.979607951</v>
      </c>
      <c r="F21" s="234">
        <f>('I. Datos de entrada'!G101+'I. Datos de entrada'!G102)*1000</f>
        <v>6012001.2000848316</v>
      </c>
      <c r="G21" s="235">
        <f>('I. Datos de entrada'!H101+'I. Datos de entrada'!H102)*1000</f>
        <v>51088494.196258441</v>
      </c>
    </row>
    <row r="22" spans="1:11" ht="15" customHeight="1">
      <c r="A22" s="236" t="s">
        <v>13</v>
      </c>
      <c r="B22" s="374">
        <f>'I. Datos de entrada'!C103*1000</f>
        <v>7468347.1846854687</v>
      </c>
      <c r="C22" s="237">
        <f>'I. Datos de entrada'!D103*1000</f>
        <v>8948896.783511024</v>
      </c>
      <c r="D22" s="237">
        <f>'I. Datos de entrada'!E103*1000</f>
        <v>8472232.0976786017</v>
      </c>
      <c r="E22" s="237">
        <f>'I. Datos de entrada'!F103*1000</f>
        <v>9871515.8633370809</v>
      </c>
      <c r="F22" s="237">
        <f>'I. Datos de entrada'!G103*1000</f>
        <v>4084245.1306626666</v>
      </c>
      <c r="G22" s="238">
        <f>'I. Datos de entrada'!H103*1000</f>
        <v>32492983.797259867</v>
      </c>
      <c r="K22" s="398"/>
    </row>
    <row r="23" spans="1:11" ht="15" customHeight="1">
      <c r="A23" s="236" t="s">
        <v>14</v>
      </c>
      <c r="B23" s="374">
        <f>'I. Datos de entrada'!C104*1000</f>
        <v>2101879.1657405221</v>
      </c>
      <c r="C23" s="237">
        <f>'I. Datos de entrada'!D104*1000</f>
        <v>2704866.4427607879</v>
      </c>
      <c r="D23" s="237">
        <f>'I. Datos de entrada'!E104*1000</f>
        <v>2457739.9532876047</v>
      </c>
      <c r="E23" s="237">
        <f>'I. Datos de entrada'!F104*1000</f>
        <v>2923272.793283646</v>
      </c>
      <c r="F23" s="237">
        <f>'I. Datos de entrada'!G104*1000</f>
        <v>1287988.1585809726</v>
      </c>
      <c r="G23" s="238">
        <f>'I. Datos de entrada'!H104*1000</f>
        <v>11629729.831677111</v>
      </c>
      <c r="K23" s="400"/>
    </row>
    <row r="24" spans="1:11" ht="15" customHeight="1">
      <c r="A24" s="236" t="s">
        <v>15</v>
      </c>
      <c r="B24" s="374">
        <f>'I. Datos de entrada'!C105*1000</f>
        <v>790556.14979970583</v>
      </c>
      <c r="C24" s="237">
        <f>'I. Datos de entrada'!D105*1000</f>
        <v>1038579.1062729738</v>
      </c>
      <c r="D24" s="237">
        <f>'I. Datos de entrada'!E105*1000</f>
        <v>991339.91261651611</v>
      </c>
      <c r="E24" s="237">
        <f>'I. Datos de entrada'!F105*1000</f>
        <v>1201607.3963746678</v>
      </c>
      <c r="F24" s="237">
        <f>'I. Datos de entrada'!G105*1000</f>
        <v>529284.94387285749</v>
      </c>
      <c r="G24" s="238">
        <f>'I. Datos de entrada'!H105*1000</f>
        <v>5459140.5518982243</v>
      </c>
    </row>
    <row r="25" spans="1:11" s="370" customFormat="1" ht="15" customHeight="1" thickBot="1">
      <c r="A25" s="367" t="s">
        <v>16</v>
      </c>
      <c r="B25" s="375">
        <f>'I. Datos de entrada'!C106*1000</f>
        <v>1804254.7098952557</v>
      </c>
      <c r="C25" s="368">
        <f>'I. Datos de entrada'!D106*1000</f>
        <v>2436647.7854317809</v>
      </c>
      <c r="D25" s="368">
        <f>'I. Datos de entrada'!E106*1000</f>
        <v>2291509.5370804761</v>
      </c>
      <c r="E25" s="368">
        <f>'I. Datos de entrada'!F106*1000</f>
        <v>2808179.8028088505</v>
      </c>
      <c r="F25" s="368">
        <f>'I. Datos de entrada'!G106*1000</f>
        <v>1279324.5004632412</v>
      </c>
      <c r="G25" s="369">
        <f>'I. Datos de entrada'!H106*1000</f>
        <v>13846042.498536294</v>
      </c>
    </row>
    <row r="26" spans="1:11">
      <c r="A26" s="231"/>
      <c r="B26" s="232"/>
      <c r="C26" s="232"/>
      <c r="D26" s="232"/>
      <c r="E26" s="232"/>
      <c r="F26" s="232"/>
      <c r="G26" s="232"/>
    </row>
    <row r="27" spans="1:11" ht="13.5" thickBot="1">
      <c r="A27" s="139"/>
      <c r="B27" s="139"/>
      <c r="C27" s="139"/>
      <c r="D27" s="139"/>
      <c r="E27" s="139"/>
      <c r="F27" s="139"/>
      <c r="G27" s="139"/>
    </row>
    <row r="28" spans="1:11" ht="24" customHeight="1">
      <c r="A28" s="433" t="s">
        <v>60</v>
      </c>
      <c r="B28" s="227" t="s">
        <v>162</v>
      </c>
      <c r="C28" s="227"/>
      <c r="D28" s="227"/>
      <c r="E28" s="227"/>
      <c r="F28" s="227"/>
      <c r="G28" s="228"/>
    </row>
    <row r="29" spans="1:11" ht="24" customHeight="1">
      <c r="A29" s="434"/>
      <c r="B29" s="229" t="s">
        <v>17</v>
      </c>
      <c r="C29" s="229" t="s">
        <v>18</v>
      </c>
      <c r="D29" s="229" t="s">
        <v>19</v>
      </c>
      <c r="E29" s="229" t="s">
        <v>20</v>
      </c>
      <c r="F29" s="229" t="s">
        <v>21</v>
      </c>
      <c r="G29" s="230" t="s">
        <v>22</v>
      </c>
    </row>
    <row r="30" spans="1:11" ht="15" customHeight="1">
      <c r="A30" s="233" t="s">
        <v>12</v>
      </c>
      <c r="B30" s="376">
        <f>B12/B21</f>
        <v>0</v>
      </c>
      <c r="C30" s="292">
        <f t="shared" ref="C30:G30" si="0">C12/C21</f>
        <v>0</v>
      </c>
      <c r="D30" s="292">
        <f t="shared" si="0"/>
        <v>0</v>
      </c>
      <c r="E30" s="292">
        <f t="shared" si="0"/>
        <v>0</v>
      </c>
      <c r="F30" s="292">
        <f t="shared" si="0"/>
        <v>0</v>
      </c>
      <c r="G30" s="293">
        <f t="shared" si="0"/>
        <v>0</v>
      </c>
    </row>
    <row r="31" spans="1:11" ht="15" customHeight="1">
      <c r="A31" s="236" t="s">
        <v>13</v>
      </c>
      <c r="B31" s="377">
        <f t="shared" ref="B31:G34" si="1">B13/B22</f>
        <v>8.6696483400789393E-3</v>
      </c>
      <c r="C31" s="295">
        <f t="shared" si="1"/>
        <v>6.5908056391367877E-3</v>
      </c>
      <c r="D31" s="295">
        <f t="shared" si="1"/>
        <v>4.5081947036638851E-3</v>
      </c>
      <c r="E31" s="295">
        <f t="shared" si="1"/>
        <v>3.0888585493641053E-3</v>
      </c>
      <c r="F31" s="295">
        <f t="shared" si="1"/>
        <v>3.3231344987924176E-4</v>
      </c>
      <c r="G31" s="296">
        <f t="shared" si="1"/>
        <v>5.0130150881547364E-5</v>
      </c>
    </row>
    <row r="32" spans="1:11" ht="15" customHeight="1">
      <c r="A32" s="236" t="s">
        <v>14</v>
      </c>
      <c r="B32" s="377">
        <f t="shared" si="1"/>
        <v>3.815403525725485E-3</v>
      </c>
      <c r="C32" s="295">
        <f t="shared" si="1"/>
        <v>3.0494552567409943E-3</v>
      </c>
      <c r="D32" s="295">
        <f t="shared" si="1"/>
        <v>2.3566065461197885E-3</v>
      </c>
      <c r="E32" s="295">
        <f t="shared" si="1"/>
        <v>1.2857960612097682E-3</v>
      </c>
      <c r="F32" s="295">
        <f t="shared" si="1"/>
        <v>6.6613662663641551E-5</v>
      </c>
      <c r="G32" s="296">
        <f t="shared" si="1"/>
        <v>1.1482705771879407E-5</v>
      </c>
    </row>
    <row r="33" spans="1:7" ht="15" customHeight="1">
      <c r="A33" s="236" t="s">
        <v>15</v>
      </c>
      <c r="B33" s="377">
        <f t="shared" si="1"/>
        <v>3.9851352055084574E-3</v>
      </c>
      <c r="C33" s="295">
        <f t="shared" si="1"/>
        <v>2.938691096346049E-3</v>
      </c>
      <c r="D33" s="295">
        <f t="shared" si="1"/>
        <v>2.6611206000904703E-3</v>
      </c>
      <c r="E33" s="295">
        <f t="shared" si="1"/>
        <v>1.6241971466116969E-3</v>
      </c>
      <c r="F33" s="295">
        <f t="shared" si="1"/>
        <v>1.2936400728633032E-4</v>
      </c>
      <c r="G33" s="296">
        <f t="shared" si="1"/>
        <v>4.1233168328985411E-5</v>
      </c>
    </row>
    <row r="34" spans="1:7" s="370" customFormat="1" ht="15" customHeight="1" thickBot="1">
      <c r="A34" s="367" t="s">
        <v>16</v>
      </c>
      <c r="B34" s="378">
        <f t="shared" si="1"/>
        <v>6.8958121104774677E-3</v>
      </c>
      <c r="C34" s="371">
        <f t="shared" si="1"/>
        <v>5.3329737747851253E-3</v>
      </c>
      <c r="D34" s="371">
        <f t="shared" si="1"/>
        <v>4.5881408605254479E-3</v>
      </c>
      <c r="E34" s="371">
        <f t="shared" si="1"/>
        <v>2.5020260558345723E-3</v>
      </c>
      <c r="F34" s="371">
        <f t="shared" si="1"/>
        <v>8.0685056947850357E-5</v>
      </c>
      <c r="G34" s="372">
        <f t="shared" si="1"/>
        <v>4.9775089577514972E-5</v>
      </c>
    </row>
    <row r="36" spans="1:7">
      <c r="B36" s="300"/>
      <c r="C36" s="273"/>
      <c r="D36" s="128"/>
    </row>
  </sheetData>
  <mergeCells count="3">
    <mergeCell ref="A10:A11"/>
    <mergeCell ref="A19:A20"/>
    <mergeCell ref="A28:A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dimension ref="A6:J77"/>
  <sheetViews>
    <sheetView showGridLines="0" zoomScaleNormal="100" workbookViewId="0"/>
  </sheetViews>
  <sheetFormatPr baseColWidth="10" defaultRowHeight="12.75"/>
  <cols>
    <col min="1" max="1" width="21.42578125" customWidth="1"/>
  </cols>
  <sheetData>
    <row r="6" spans="1:10" ht="15">
      <c r="A6" s="97" t="s">
        <v>90</v>
      </c>
    </row>
    <row r="8" spans="1:10">
      <c r="A8" s="98" t="s">
        <v>84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ht="13.5" thickBot="1"/>
    <row r="10" spans="1:10" ht="27.75" customHeight="1" thickBot="1">
      <c r="A10" s="1"/>
      <c r="B10" s="1"/>
      <c r="C10" s="104" t="s">
        <v>47</v>
      </c>
      <c r="D10" s="105"/>
      <c r="E10" s="105"/>
      <c r="F10" s="106"/>
      <c r="G10" s="1"/>
      <c r="H10" s="1"/>
      <c r="I10" s="1"/>
      <c r="J10" s="1"/>
    </row>
    <row r="11" spans="1:10" ht="26.25" thickBot="1">
      <c r="A11" s="100" t="s">
        <v>58</v>
      </c>
      <c r="B11" s="101" t="s">
        <v>124</v>
      </c>
      <c r="C11" s="102" t="s">
        <v>77</v>
      </c>
      <c r="D11" s="102" t="s">
        <v>48</v>
      </c>
      <c r="E11" s="102" t="s">
        <v>49</v>
      </c>
      <c r="F11" s="102" t="s">
        <v>50</v>
      </c>
      <c r="G11" s="101" t="s">
        <v>51</v>
      </c>
      <c r="H11" s="101" t="s">
        <v>52</v>
      </c>
      <c r="I11" s="101" t="s">
        <v>11</v>
      </c>
      <c r="J11" s="103" t="s">
        <v>53</v>
      </c>
    </row>
    <row r="12" spans="1:10">
      <c r="A12" s="108" t="s">
        <v>46</v>
      </c>
      <c r="B12" s="86">
        <v>30798.347999999994</v>
      </c>
      <c r="C12" s="87">
        <v>13004.393768146976</v>
      </c>
      <c r="D12" s="86">
        <v>7910.9804796353556</v>
      </c>
      <c r="E12" s="86">
        <v>6587.0765974333572</v>
      </c>
      <c r="F12" s="86">
        <v>0</v>
      </c>
      <c r="G12" s="86">
        <v>2675.2950000000001</v>
      </c>
      <c r="H12" s="88">
        <f>G12/$G$17</f>
        <v>7.1757344761386219E-2</v>
      </c>
      <c r="I12" s="86">
        <v>620.60215478430541</v>
      </c>
      <c r="J12" s="89">
        <f>SUM(B12:B12)/SUM(C12:G12)-1</f>
        <v>2.0564894341924322E-2</v>
      </c>
    </row>
    <row r="13" spans="1:10">
      <c r="A13" s="109" t="s">
        <v>45</v>
      </c>
      <c r="B13" s="87">
        <v>4928.7400000000007</v>
      </c>
      <c r="C13" s="87">
        <v>0</v>
      </c>
      <c r="D13" s="87">
        <v>9858.726539246818</v>
      </c>
      <c r="E13" s="87">
        <v>6476.2270836322305</v>
      </c>
      <c r="F13" s="87">
        <v>0</v>
      </c>
      <c r="G13" s="87">
        <v>1124.4979999999998</v>
      </c>
      <c r="H13" s="90">
        <f>G13/$G$17</f>
        <v>3.0161530100227922E-2</v>
      </c>
      <c r="I13" s="87">
        <v>473.6821452679265</v>
      </c>
      <c r="J13" s="91">
        <f>SUM(B13:B13,C17)/SUM(C13:G13)-1</f>
        <v>2.7130413686487831E-2</v>
      </c>
    </row>
    <row r="14" spans="1:10">
      <c r="A14" s="109" t="s">
        <v>44</v>
      </c>
      <c r="B14" s="87">
        <v>5094.6969999999992</v>
      </c>
      <c r="C14" s="87">
        <v>0</v>
      </c>
      <c r="D14" s="87">
        <v>0</v>
      </c>
      <c r="E14" s="87">
        <v>19410.147551323527</v>
      </c>
      <c r="F14" s="87">
        <v>0.91011537506254725</v>
      </c>
      <c r="G14" s="87">
        <v>2965.3557796000005</v>
      </c>
      <c r="H14" s="90">
        <f>G14/$G$17</f>
        <v>7.9537418122833714E-2</v>
      </c>
      <c r="I14" s="87">
        <v>487.99151158358211</v>
      </c>
      <c r="J14" s="91">
        <f>SUM(B14:B14,D17)/SUM(C14:G14)-1</f>
        <v>2.1808256884183752E-2</v>
      </c>
    </row>
    <row r="15" spans="1:10">
      <c r="A15" s="109" t="s">
        <v>43</v>
      </c>
      <c r="B15" s="87">
        <v>1016.3520030000003</v>
      </c>
      <c r="C15" s="87">
        <v>0</v>
      </c>
      <c r="D15" s="87">
        <v>0</v>
      </c>
      <c r="E15" s="87">
        <v>0</v>
      </c>
      <c r="F15" s="87">
        <v>23648.340703781709</v>
      </c>
      <c r="G15" s="87">
        <v>9008.284220399999</v>
      </c>
      <c r="H15" s="90">
        <f>G15/$G$17</f>
        <v>0.24162215999050493</v>
      </c>
      <c r="I15" s="87">
        <v>833.17531120739864</v>
      </c>
      <c r="J15" s="91">
        <f>SUM(B15:B15,E17)/SUM(C15:G15)-1</f>
        <v>2.5513301302317215E-2</v>
      </c>
    </row>
    <row r="16" spans="1:10" ht="13.5" thickBot="1">
      <c r="A16" s="110" t="s">
        <v>57</v>
      </c>
      <c r="B16" s="87">
        <v>4.1280000000000285</v>
      </c>
      <c r="C16" s="92">
        <v>0</v>
      </c>
      <c r="D16" s="87">
        <v>0</v>
      </c>
      <c r="E16" s="87">
        <v>0</v>
      </c>
      <c r="F16" s="87">
        <v>0</v>
      </c>
      <c r="G16" s="87">
        <v>21509.091999999997</v>
      </c>
      <c r="H16" s="93">
        <f>G16/$G$17</f>
        <v>0.57692154702504728</v>
      </c>
      <c r="I16" s="87">
        <v>2144.2628801567807</v>
      </c>
      <c r="J16" s="91">
        <f>SUM(B16:B16,F17)/SUM(C16:G16)-1</f>
        <v>9.9692112486978735E-2</v>
      </c>
    </row>
    <row r="17" spans="1:10" ht="13.5" thickBot="1">
      <c r="A17" s="94" t="s">
        <v>5</v>
      </c>
      <c r="B17" s="95">
        <f t="shared" ref="B17:I17" si="0">SUM(B12:B16)</f>
        <v>41842.265002999993</v>
      </c>
      <c r="C17" s="95">
        <f t="shared" si="0"/>
        <v>13004.393768146976</v>
      </c>
      <c r="D17" s="95">
        <f t="shared" si="0"/>
        <v>17769.707018882174</v>
      </c>
      <c r="E17" s="95">
        <f t="shared" si="0"/>
        <v>32473.451232389114</v>
      </c>
      <c r="F17" s="95">
        <f t="shared" si="0"/>
        <v>23649.250819156772</v>
      </c>
      <c r="G17" s="95">
        <f t="shared" si="0"/>
        <v>37282.524999999994</v>
      </c>
      <c r="H17" s="96">
        <f>SUM(H12:H16)</f>
        <v>1</v>
      </c>
      <c r="I17" s="95">
        <f t="shared" si="0"/>
        <v>4559.7140029999937</v>
      </c>
      <c r="J17" s="96"/>
    </row>
    <row r="20" spans="1:10">
      <c r="A20" s="98" t="s">
        <v>85</v>
      </c>
      <c r="B20" s="99"/>
      <c r="C20" s="99"/>
      <c r="D20" s="99"/>
      <c r="E20" s="99"/>
      <c r="F20" s="99"/>
      <c r="G20" s="99"/>
      <c r="H20" s="99"/>
      <c r="I20" s="99"/>
      <c r="J20" s="99"/>
    </row>
    <row r="21" spans="1:10" ht="13.5" thickBot="1"/>
    <row r="22" spans="1:10" ht="27.75" customHeight="1" thickBot="1">
      <c r="A22" s="1"/>
      <c r="B22" s="1"/>
      <c r="C22" s="104" t="s">
        <v>47</v>
      </c>
      <c r="D22" s="105"/>
      <c r="E22" s="105"/>
      <c r="F22" s="106"/>
      <c r="G22" s="1"/>
      <c r="H22" s="1"/>
      <c r="I22" s="1"/>
      <c r="J22" s="1"/>
    </row>
    <row r="23" spans="1:10" ht="26.25" thickBot="1">
      <c r="A23" s="100" t="s">
        <v>58</v>
      </c>
      <c r="B23" s="101" t="s">
        <v>124</v>
      </c>
      <c r="C23" s="102" t="s">
        <v>77</v>
      </c>
      <c r="D23" s="102" t="s">
        <v>48</v>
      </c>
      <c r="E23" s="102" t="s">
        <v>49</v>
      </c>
      <c r="F23" s="102" t="s">
        <v>50</v>
      </c>
      <c r="G23" s="101" t="s">
        <v>51</v>
      </c>
      <c r="H23" s="101" t="s">
        <v>52</v>
      </c>
      <c r="I23" s="101" t="s">
        <v>11</v>
      </c>
      <c r="J23" s="103" t="s">
        <v>53</v>
      </c>
    </row>
    <row r="24" spans="1:10">
      <c r="A24" s="108" t="s">
        <v>46</v>
      </c>
      <c r="B24" s="86">
        <v>25824.380999999998</v>
      </c>
      <c r="C24" s="87">
        <v>10135.453492837303</v>
      </c>
      <c r="D24" s="86">
        <v>6336.9225982183307</v>
      </c>
      <c r="E24" s="86">
        <v>5938.8361285480496</v>
      </c>
      <c r="F24" s="86">
        <v>0</v>
      </c>
      <c r="G24" s="86">
        <v>2847.3360000000002</v>
      </c>
      <c r="H24" s="88">
        <f>G24/$G$29</f>
        <v>8.0483022050791608E-2</v>
      </c>
      <c r="I24" s="86">
        <v>565.83278039631296</v>
      </c>
      <c r="J24" s="89">
        <f>SUM(B24:B24)/SUM(C24:G24)-1</f>
        <v>2.2401635100989692E-2</v>
      </c>
    </row>
    <row r="25" spans="1:10">
      <c r="A25" s="109" t="s">
        <v>45</v>
      </c>
      <c r="B25" s="87">
        <v>6191.8789999999999</v>
      </c>
      <c r="C25" s="87">
        <v>0</v>
      </c>
      <c r="D25" s="87">
        <v>8860.2508814052908</v>
      </c>
      <c r="E25" s="87">
        <v>5856.1165352937369</v>
      </c>
      <c r="F25" s="87">
        <v>0</v>
      </c>
      <c r="G25" s="87">
        <v>1156.846</v>
      </c>
      <c r="H25" s="90">
        <f>G25/$G$29</f>
        <v>3.2699499506686269E-2</v>
      </c>
      <c r="I25" s="87">
        <v>454.1190761382756</v>
      </c>
      <c r="J25" s="91">
        <f>SUM(B25:B25,C29)/SUM(C25:G25)-1</f>
        <v>2.8609145748681897E-2</v>
      </c>
    </row>
    <row r="26" spans="1:10">
      <c r="A26" s="109" t="s">
        <v>44</v>
      </c>
      <c r="B26" s="87">
        <v>6204.0930000000008</v>
      </c>
      <c r="C26" s="87">
        <v>0</v>
      </c>
      <c r="D26" s="87">
        <v>0</v>
      </c>
      <c r="E26" s="87">
        <v>17959.624701622735</v>
      </c>
      <c r="F26" s="87">
        <v>1.050753115097024</v>
      </c>
      <c r="G26" s="87">
        <v>3026.0009977999998</v>
      </c>
      <c r="H26" s="90">
        <f>G26/$G$29</f>
        <v>8.5533180851032245E-2</v>
      </c>
      <c r="I26" s="87">
        <v>414.59002708579459</v>
      </c>
      <c r="J26" s="91">
        <f>SUM(B26:B26,D29)/SUM(C26:G26)-1</f>
        <v>1.9754915840218823E-2</v>
      </c>
    </row>
    <row r="27" spans="1:10">
      <c r="A27" s="109" t="s">
        <v>43</v>
      </c>
      <c r="B27" s="87">
        <v>1368.7189980000014</v>
      </c>
      <c r="C27" s="87">
        <v>0</v>
      </c>
      <c r="D27" s="87">
        <v>0</v>
      </c>
      <c r="E27" s="87">
        <v>0</v>
      </c>
      <c r="F27" s="87">
        <v>21557.850744847521</v>
      </c>
      <c r="G27" s="87">
        <v>8774.2480022000018</v>
      </c>
      <c r="H27" s="90">
        <f>G27/$G$29</f>
        <v>0.24801358021679804</v>
      </c>
      <c r="I27" s="87">
        <v>791.19761641699745</v>
      </c>
      <c r="J27" s="91">
        <f>SUM(B27:B27,E29)/SUM(C27:G27)-1</f>
        <v>2.6084499559860364E-2</v>
      </c>
    </row>
    <row r="28" spans="1:10" ht="13.5" thickBot="1">
      <c r="A28" s="110" t="s">
        <v>57</v>
      </c>
      <c r="B28" s="92">
        <v>10.477000000000034</v>
      </c>
      <c r="C28" s="92">
        <v>0</v>
      </c>
      <c r="D28" s="87">
        <v>0</v>
      </c>
      <c r="E28" s="87">
        <v>0</v>
      </c>
      <c r="F28" s="87">
        <v>0</v>
      </c>
      <c r="G28" s="87">
        <v>19573.663999999997</v>
      </c>
      <c r="H28" s="93">
        <f>G28/$G$29</f>
        <v>0.5532707173746918</v>
      </c>
      <c r="I28" s="87">
        <v>1995.7144979626171</v>
      </c>
      <c r="J28" s="91">
        <f>SUM(B28:B28,F29)/SUM(C28:G28)-1</f>
        <v>0.10195916809252581</v>
      </c>
    </row>
    <row r="29" spans="1:10" ht="13.5" thickBot="1">
      <c r="A29" s="94" t="s">
        <v>5</v>
      </c>
      <c r="B29" s="95">
        <f t="shared" ref="B29:I29" si="1">SUM(B24:B28)</f>
        <v>39599.548998000006</v>
      </c>
      <c r="C29" s="95">
        <f t="shared" si="1"/>
        <v>10135.453492837303</v>
      </c>
      <c r="D29" s="95">
        <f t="shared" si="1"/>
        <v>15197.173479623621</v>
      </c>
      <c r="E29" s="95">
        <f t="shared" si="1"/>
        <v>29754.577365464524</v>
      </c>
      <c r="F29" s="95">
        <f t="shared" si="1"/>
        <v>21558.901497962619</v>
      </c>
      <c r="G29" s="95">
        <f t="shared" si="1"/>
        <v>35378.095000000001</v>
      </c>
      <c r="H29" s="96">
        <f t="shared" si="1"/>
        <v>1</v>
      </c>
      <c r="I29" s="95">
        <f t="shared" si="1"/>
        <v>4221.4539979999981</v>
      </c>
      <c r="J29" s="96"/>
    </row>
    <row r="32" spans="1:10">
      <c r="A32" s="98" t="s">
        <v>86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13.5" thickBot="1"/>
    <row r="34" spans="1:10" ht="27.75" customHeight="1" thickBot="1">
      <c r="A34" s="1"/>
      <c r="B34" s="1"/>
      <c r="C34" s="104" t="s">
        <v>47</v>
      </c>
      <c r="D34" s="105"/>
      <c r="E34" s="105"/>
      <c r="F34" s="106"/>
      <c r="G34" s="1"/>
      <c r="H34" s="1"/>
      <c r="I34" s="1"/>
      <c r="J34" s="1"/>
    </row>
    <row r="35" spans="1:10" ht="26.25" thickBot="1">
      <c r="A35" s="100" t="s">
        <v>58</v>
      </c>
      <c r="B35" s="101" t="s">
        <v>124</v>
      </c>
      <c r="C35" s="102" t="s">
        <v>77</v>
      </c>
      <c r="D35" s="102" t="s">
        <v>48</v>
      </c>
      <c r="E35" s="102" t="s">
        <v>49</v>
      </c>
      <c r="F35" s="102" t="s">
        <v>50</v>
      </c>
      <c r="G35" s="101" t="s">
        <v>51</v>
      </c>
      <c r="H35" s="101" t="s">
        <v>52</v>
      </c>
      <c r="I35" s="101" t="s">
        <v>11</v>
      </c>
      <c r="J35" s="103" t="s">
        <v>53</v>
      </c>
    </row>
    <row r="36" spans="1:10">
      <c r="A36" s="108" t="s">
        <v>46</v>
      </c>
      <c r="B36" s="86">
        <v>24619.315000000002</v>
      </c>
      <c r="C36" s="87">
        <v>10349.783712643795</v>
      </c>
      <c r="D36" s="86">
        <v>6492.8425329893835</v>
      </c>
      <c r="E36" s="86">
        <v>5426.1908223692526</v>
      </c>
      <c r="F36" s="86">
        <v>0</v>
      </c>
      <c r="G36" s="86">
        <v>1846.67</v>
      </c>
      <c r="H36" s="88">
        <f>G36/$G$41</f>
        <v>5.597366833654812E-2</v>
      </c>
      <c r="I36" s="86">
        <v>503.82793199757316</v>
      </c>
      <c r="J36" s="89">
        <f>SUM(B36:B36)/SUM(C36:G36)-1</f>
        <v>2.0892297575281882E-2</v>
      </c>
    </row>
    <row r="37" spans="1:10">
      <c r="A37" s="109" t="s">
        <v>45</v>
      </c>
      <c r="B37" s="87">
        <v>3847.6079999999997</v>
      </c>
      <c r="C37" s="87">
        <v>0</v>
      </c>
      <c r="D37" s="87">
        <v>7983.6704233547343</v>
      </c>
      <c r="E37" s="87">
        <v>4640.9388753647454</v>
      </c>
      <c r="F37" s="87">
        <v>0</v>
      </c>
      <c r="G37" s="87">
        <v>1180.2000000000003</v>
      </c>
      <c r="H37" s="90">
        <f>G37/$G$41</f>
        <v>3.577256541276682E-2</v>
      </c>
      <c r="I37" s="87">
        <v>392.582413924317</v>
      </c>
      <c r="J37" s="91">
        <f>SUM(B37:B37,C41)/SUM(C37:G37)-1</f>
        <v>2.8438090337164601E-2</v>
      </c>
    </row>
    <row r="38" spans="1:10">
      <c r="A38" s="109" t="s">
        <v>44</v>
      </c>
      <c r="B38" s="87">
        <v>4658.9449999999943</v>
      </c>
      <c r="C38" s="87">
        <v>0</v>
      </c>
      <c r="D38" s="87">
        <v>0</v>
      </c>
      <c r="E38" s="87">
        <v>16074.490513706489</v>
      </c>
      <c r="F38" s="87">
        <v>0.51537852308911991</v>
      </c>
      <c r="G38" s="87">
        <v>2694.3223844000004</v>
      </c>
      <c r="H38" s="90">
        <f>G38/$G$41</f>
        <v>8.1666517318277287E-2</v>
      </c>
      <c r="I38" s="87">
        <v>366.12967971453685</v>
      </c>
      <c r="J38" s="91">
        <f>SUM(B38:B38,D41)/SUM(C38:G38)-1</f>
        <v>1.950680782595815E-2</v>
      </c>
    </row>
    <row r="39" spans="1:10">
      <c r="A39" s="109" t="s">
        <v>43</v>
      </c>
      <c r="B39" s="87">
        <v>2281.4650010000046</v>
      </c>
      <c r="C39" s="87">
        <v>0</v>
      </c>
      <c r="D39" s="87">
        <v>0</v>
      </c>
      <c r="E39" s="87">
        <v>0</v>
      </c>
      <c r="F39" s="87">
        <v>17415.850250800348</v>
      </c>
      <c r="G39" s="87">
        <v>10271.330615600002</v>
      </c>
      <c r="H39" s="90">
        <f>G39/$G$41</f>
        <v>0.31133015278995546</v>
      </c>
      <c r="I39" s="87">
        <v>735.90434604014547</v>
      </c>
      <c r="J39" s="91">
        <f>SUM(B39:B39,E41)/SUM(C39:G39)-1</f>
        <v>2.6579244365510624E-2</v>
      </c>
    </row>
    <row r="40" spans="1:10" ht="13.5" thickBot="1">
      <c r="A40" s="110" t="s">
        <v>57</v>
      </c>
      <c r="B40" s="92">
        <v>815.42699399999208</v>
      </c>
      <c r="C40" s="92">
        <v>0</v>
      </c>
      <c r="D40" s="87">
        <v>0</v>
      </c>
      <c r="E40" s="87">
        <v>0</v>
      </c>
      <c r="F40" s="87">
        <v>0</v>
      </c>
      <c r="G40" s="87">
        <v>16999.240000000002</v>
      </c>
      <c r="H40" s="93">
        <f>G40/$G$41</f>
        <v>0.51525709614245219</v>
      </c>
      <c r="I40" s="87">
        <v>1232.5526233234227</v>
      </c>
      <c r="J40" s="91">
        <f>SUM(B40:B40,F41)/SUM(C40:G40)-1</f>
        <v>7.2506336949382799E-2</v>
      </c>
    </row>
    <row r="41" spans="1:10" ht="13.5" thickBot="1">
      <c r="A41" s="94" t="s">
        <v>5</v>
      </c>
      <c r="B41" s="95">
        <f t="shared" ref="B41:I41" si="2">SUM(B36:B40)</f>
        <v>36222.759994999993</v>
      </c>
      <c r="C41" s="95">
        <f t="shared" si="2"/>
        <v>10349.783712643795</v>
      </c>
      <c r="D41" s="95">
        <f t="shared" si="2"/>
        <v>14476.512956344119</v>
      </c>
      <c r="E41" s="95">
        <f t="shared" si="2"/>
        <v>26141.620211440488</v>
      </c>
      <c r="F41" s="95">
        <f t="shared" si="2"/>
        <v>17416.365629323438</v>
      </c>
      <c r="G41" s="95">
        <f t="shared" si="2"/>
        <v>32991.763000000006</v>
      </c>
      <c r="H41" s="96">
        <f t="shared" si="2"/>
        <v>0.99999999999999989</v>
      </c>
      <c r="I41" s="95">
        <f t="shared" si="2"/>
        <v>3230.9969949999954</v>
      </c>
      <c r="J41" s="96"/>
    </row>
    <row r="44" spans="1:10">
      <c r="A44" s="98" t="s">
        <v>87</v>
      </c>
      <c r="B44" s="99"/>
      <c r="C44" s="99"/>
      <c r="D44" s="99"/>
      <c r="E44" s="99"/>
      <c r="F44" s="99"/>
      <c r="G44" s="99"/>
      <c r="H44" s="99"/>
      <c r="I44" s="99"/>
      <c r="J44" s="99"/>
    </row>
    <row r="45" spans="1:10" ht="13.5" thickBot="1"/>
    <row r="46" spans="1:10" ht="27.75" customHeight="1" thickBot="1">
      <c r="A46" s="1"/>
      <c r="B46" s="1"/>
      <c r="C46" s="104" t="s">
        <v>47</v>
      </c>
      <c r="D46" s="105"/>
      <c r="E46" s="105"/>
      <c r="F46" s="106"/>
      <c r="G46" s="1"/>
      <c r="H46" s="1"/>
      <c r="I46" s="1"/>
      <c r="J46" s="1"/>
    </row>
    <row r="47" spans="1:10" ht="26.25" thickBot="1">
      <c r="A47" s="100" t="s">
        <v>58</v>
      </c>
      <c r="B47" s="101" t="s">
        <v>124</v>
      </c>
      <c r="C47" s="102" t="s">
        <v>77</v>
      </c>
      <c r="D47" s="102" t="s">
        <v>48</v>
      </c>
      <c r="E47" s="102" t="s">
        <v>49</v>
      </c>
      <c r="F47" s="102" t="s">
        <v>50</v>
      </c>
      <c r="G47" s="101" t="s">
        <v>51</v>
      </c>
      <c r="H47" s="101" t="s">
        <v>52</v>
      </c>
      <c r="I47" s="101" t="s">
        <v>11</v>
      </c>
      <c r="J47" s="103" t="s">
        <v>53</v>
      </c>
    </row>
    <row r="48" spans="1:10">
      <c r="A48" s="108" t="s">
        <v>46</v>
      </c>
      <c r="B48" s="86">
        <v>28091.872999999992</v>
      </c>
      <c r="C48" s="87">
        <v>11346.743211065152</v>
      </c>
      <c r="D48" s="86">
        <v>7126.7468814163503</v>
      </c>
      <c r="E48" s="86">
        <v>6410.4546084617123</v>
      </c>
      <c r="F48" s="86">
        <v>0</v>
      </c>
      <c r="G48" s="86">
        <v>2701.5860000000002</v>
      </c>
      <c r="H48" s="88">
        <f>G48/$G$53</f>
        <v>7.3655574323974321E-2</v>
      </c>
      <c r="I48" s="86">
        <v>506.34229905678103</v>
      </c>
      <c r="J48" s="89">
        <f>SUM(B48:B48)/SUM(C48:G48)-1</f>
        <v>1.8355358269017019E-2</v>
      </c>
    </row>
    <row r="49" spans="1:10">
      <c r="A49" s="109" t="s">
        <v>45</v>
      </c>
      <c r="B49" s="87">
        <v>4012.6639999999998</v>
      </c>
      <c r="C49" s="87">
        <v>0</v>
      </c>
      <c r="D49" s="87">
        <v>8273.3001445143236</v>
      </c>
      <c r="E49" s="87">
        <v>5525.6486459063999</v>
      </c>
      <c r="F49" s="87">
        <v>0</v>
      </c>
      <c r="G49" s="87">
        <v>1177.0770000000002</v>
      </c>
      <c r="H49" s="90">
        <f>G49/$G$53</f>
        <v>3.209162412691683E-2</v>
      </c>
      <c r="I49" s="87">
        <v>383.38142064442741</v>
      </c>
      <c r="J49" s="91">
        <f>SUM(B49:B49,C53)/SUM(C49:G49)-1</f>
        <v>2.5599676844149988E-2</v>
      </c>
    </row>
    <row r="50" spans="1:10">
      <c r="A50" s="109" t="s">
        <v>44</v>
      </c>
      <c r="B50" s="87">
        <v>4981.193000000002</v>
      </c>
      <c r="C50" s="87">
        <v>0</v>
      </c>
      <c r="D50" s="87">
        <v>0</v>
      </c>
      <c r="E50" s="87">
        <v>17040.934283480561</v>
      </c>
      <c r="F50" s="87">
        <v>0.84547166194018675</v>
      </c>
      <c r="G50" s="87">
        <v>2916.8043318000005</v>
      </c>
      <c r="H50" s="90">
        <f>G50/$G$53</f>
        <v>7.9523249768611914E-2</v>
      </c>
      <c r="I50" s="87">
        <v>421.17004540865543</v>
      </c>
      <c r="J50" s="91">
        <f>SUM(B50:B50,D53)/SUM(C50:G50)-1</f>
        <v>2.1176649463059194E-2</v>
      </c>
    </row>
    <row r="51" spans="1:10">
      <c r="A51" s="109" t="s">
        <v>43</v>
      </c>
      <c r="B51" s="87">
        <v>2349.8670010000019</v>
      </c>
      <c r="C51" s="87">
        <v>0</v>
      </c>
      <c r="D51" s="87">
        <v>0</v>
      </c>
      <c r="E51" s="87">
        <v>9.795885420350098</v>
      </c>
      <c r="F51" s="87">
        <v>19370.658935998639</v>
      </c>
      <c r="G51" s="87">
        <v>11096.111668199999</v>
      </c>
      <c r="H51" s="90">
        <f>G51/$G$53</f>
        <v>0.30252247297854806</v>
      </c>
      <c r="I51" s="87">
        <v>861.61982822955497</v>
      </c>
      <c r="J51" s="91">
        <f>SUM(B51:B51,E53)/SUM(C51:G51)-1</f>
        <v>2.8222796519516535E-2</v>
      </c>
    </row>
    <row r="52" spans="1:10" ht="13.5" thickBot="1">
      <c r="A52" s="110" t="s">
        <v>57</v>
      </c>
      <c r="B52" s="92">
        <v>824.58685099999411</v>
      </c>
      <c r="C52" s="92">
        <v>0</v>
      </c>
      <c r="D52" s="87">
        <v>0</v>
      </c>
      <c r="E52" s="87">
        <v>0</v>
      </c>
      <c r="F52" s="87">
        <v>0</v>
      </c>
      <c r="G52" s="87">
        <v>18787.057000000001</v>
      </c>
      <c r="H52" s="93">
        <f>G52/$G$53</f>
        <v>0.51220707880194893</v>
      </c>
      <c r="I52" s="87">
        <v>1409.0342586605707</v>
      </c>
      <c r="J52" s="91">
        <f>SUM(B52:B52,F53)/SUM(C52:G52)-1</f>
        <v>7.5000265270956046E-2</v>
      </c>
    </row>
    <row r="53" spans="1:10" ht="13.5" thickBot="1">
      <c r="A53" s="94" t="s">
        <v>5</v>
      </c>
      <c r="B53" s="95">
        <f t="shared" ref="B53:I53" si="3">SUM(B48:B52)</f>
        <v>40260.183851999987</v>
      </c>
      <c r="C53" s="95">
        <f t="shared" si="3"/>
        <v>11346.743211065152</v>
      </c>
      <c r="D53" s="95">
        <f t="shared" si="3"/>
        <v>15400.047025930675</v>
      </c>
      <c r="E53" s="95">
        <f t="shared" si="3"/>
        <v>28986.833423269021</v>
      </c>
      <c r="F53" s="95">
        <f t="shared" si="3"/>
        <v>19371.504407660581</v>
      </c>
      <c r="G53" s="95">
        <f t="shared" si="3"/>
        <v>36678.635999999999</v>
      </c>
      <c r="H53" s="96">
        <f t="shared" si="3"/>
        <v>1</v>
      </c>
      <c r="I53" s="95">
        <f t="shared" si="3"/>
        <v>3581.5478519999892</v>
      </c>
      <c r="J53" s="96"/>
    </row>
    <row r="56" spans="1:10">
      <c r="A56" s="98" t="s">
        <v>88</v>
      </c>
      <c r="B56" s="99"/>
      <c r="C56" s="99"/>
      <c r="D56" s="99"/>
      <c r="E56" s="99"/>
      <c r="F56" s="99"/>
      <c r="G56" s="99"/>
      <c r="H56" s="99"/>
      <c r="I56" s="99"/>
      <c r="J56" s="99"/>
    </row>
    <row r="57" spans="1:10" ht="13.5" thickBot="1"/>
    <row r="58" spans="1:10" ht="27.75" customHeight="1" thickBot="1">
      <c r="A58" s="1"/>
      <c r="B58" s="1"/>
      <c r="C58" s="104" t="s">
        <v>47</v>
      </c>
      <c r="D58" s="105"/>
      <c r="E58" s="105"/>
      <c r="F58" s="106"/>
      <c r="G58" s="1"/>
      <c r="H58" s="1"/>
      <c r="I58" s="1"/>
      <c r="J58" s="1"/>
    </row>
    <row r="59" spans="1:10" ht="26.25" thickBot="1">
      <c r="A59" s="100" t="s">
        <v>58</v>
      </c>
      <c r="B59" s="101" t="s">
        <v>124</v>
      </c>
      <c r="C59" s="102" t="s">
        <v>77</v>
      </c>
      <c r="D59" s="102" t="s">
        <v>48</v>
      </c>
      <c r="E59" s="102" t="s">
        <v>49</v>
      </c>
      <c r="F59" s="102" t="s">
        <v>50</v>
      </c>
      <c r="G59" s="101" t="s">
        <v>51</v>
      </c>
      <c r="H59" s="101" t="s">
        <v>52</v>
      </c>
      <c r="I59" s="101" t="s">
        <v>11</v>
      </c>
      <c r="J59" s="103" t="s">
        <v>53</v>
      </c>
    </row>
    <row r="60" spans="1:10">
      <c r="A60" s="108" t="s">
        <v>46</v>
      </c>
      <c r="B60" s="86">
        <v>22439.553999999993</v>
      </c>
      <c r="C60" s="87">
        <v>8237.3797269316419</v>
      </c>
      <c r="D60" s="86">
        <v>5652.4338705076998</v>
      </c>
      <c r="E60" s="86">
        <v>5067.5675180662665</v>
      </c>
      <c r="F60" s="86">
        <v>0</v>
      </c>
      <c r="G60" s="86">
        <v>3026.1030000000001</v>
      </c>
      <c r="H60" s="88">
        <f>G60/$G$65</f>
        <v>9.4372282113870914E-2</v>
      </c>
      <c r="I60" s="86">
        <v>456.06988449438398</v>
      </c>
      <c r="J60" s="89">
        <f>SUM(B60:B60)/SUM(C60:G60)-1</f>
        <v>2.0746023792138857E-2</v>
      </c>
    </row>
    <row r="61" spans="1:10">
      <c r="A61" s="109" t="s">
        <v>45</v>
      </c>
      <c r="B61" s="87">
        <v>5036.4909999999991</v>
      </c>
      <c r="C61" s="87">
        <v>0</v>
      </c>
      <c r="D61" s="87">
        <v>6954.2560330000861</v>
      </c>
      <c r="E61" s="87">
        <v>4783.2502885538752</v>
      </c>
      <c r="F61" s="87">
        <v>0</v>
      </c>
      <c r="G61" s="87">
        <v>1142.4150000000002</v>
      </c>
      <c r="H61" s="90">
        <f>G61/$G$65</f>
        <v>3.5627442513066425E-2</v>
      </c>
      <c r="I61" s="87">
        <v>393.94940537767673</v>
      </c>
      <c r="J61" s="91">
        <f>SUM(B61:B61,C65)/SUM(C61:G61)-1</f>
        <v>3.0586320796728961E-2</v>
      </c>
    </row>
    <row r="62" spans="1:10">
      <c r="A62" s="109" t="s">
        <v>44</v>
      </c>
      <c r="B62" s="87">
        <v>5718.1489999999903</v>
      </c>
      <c r="C62" s="87">
        <v>0</v>
      </c>
      <c r="D62" s="87">
        <v>0</v>
      </c>
      <c r="E62" s="87">
        <v>14922.895828056486</v>
      </c>
      <c r="F62" s="87">
        <v>0.74915291531382699</v>
      </c>
      <c r="G62" s="87">
        <v>3022.7870281999999</v>
      </c>
      <c r="H62" s="90">
        <f>G62/$G$65</f>
        <v>9.4268869960949728E-2</v>
      </c>
      <c r="I62" s="87">
        <v>376.92040369259422</v>
      </c>
      <c r="J62" s="91">
        <f>SUM(B62:B62,D65)/SUM(C62:G62)-1</f>
        <v>2.1085355247359994E-2</v>
      </c>
    </row>
    <row r="63" spans="1:10">
      <c r="A63" s="109" t="s">
        <v>43</v>
      </c>
      <c r="B63" s="87">
        <v>1902.8349999999987</v>
      </c>
      <c r="C63" s="87">
        <v>0</v>
      </c>
      <c r="D63" s="87">
        <v>0</v>
      </c>
      <c r="E63" s="87">
        <v>0</v>
      </c>
      <c r="F63" s="87">
        <v>16425.988731796184</v>
      </c>
      <c r="G63" s="87">
        <v>9490.8979717999991</v>
      </c>
      <c r="H63" s="90">
        <f>G63/$G$65</f>
        <v>0.29598387791449093</v>
      </c>
      <c r="I63" s="87">
        <v>761.14842172382248</v>
      </c>
      <c r="J63" s="91">
        <f>SUM(B63:B63,E65)/SUM(C63:G63)-1</f>
        <v>2.9311465523173208E-2</v>
      </c>
    </row>
    <row r="64" spans="1:10" ht="13.5" thickBot="1">
      <c r="A64" s="110" t="s">
        <v>57</v>
      </c>
      <c r="B64" s="92">
        <v>283.21920800000129</v>
      </c>
      <c r="C64" s="92">
        <v>0</v>
      </c>
      <c r="D64" s="87">
        <v>0</v>
      </c>
      <c r="E64" s="87">
        <v>0</v>
      </c>
      <c r="F64" s="87">
        <v>0</v>
      </c>
      <c r="G64" s="87">
        <v>15383.387999999999</v>
      </c>
      <c r="H64" s="93">
        <f>G64/$G$65</f>
        <v>0.47974752749762195</v>
      </c>
      <c r="I64" s="87">
        <v>1326.5690927115054</v>
      </c>
      <c r="J64" s="91">
        <f>SUM(B64:B64,F65)/SUM(C64:G64)-1</f>
        <v>8.6233870764456988E-2</v>
      </c>
    </row>
    <row r="65" spans="1:10" ht="13.5" thickBot="1">
      <c r="A65" s="94" t="s">
        <v>5</v>
      </c>
      <c r="B65" s="95">
        <f t="shared" ref="B65:I65" si="4">SUM(B60:B64)</f>
        <v>35380.248207999983</v>
      </c>
      <c r="C65" s="95">
        <f t="shared" si="4"/>
        <v>8237.3797269316419</v>
      </c>
      <c r="D65" s="95">
        <f t="shared" si="4"/>
        <v>12606.689903507786</v>
      </c>
      <c r="E65" s="95">
        <f t="shared" si="4"/>
        <v>24773.713634676627</v>
      </c>
      <c r="F65" s="95">
        <f t="shared" si="4"/>
        <v>16426.737884711496</v>
      </c>
      <c r="G65" s="95">
        <f t="shared" si="4"/>
        <v>32065.591</v>
      </c>
      <c r="H65" s="96">
        <f t="shared" si="4"/>
        <v>1</v>
      </c>
      <c r="I65" s="95">
        <f t="shared" si="4"/>
        <v>3314.6572079999823</v>
      </c>
      <c r="J65" s="96"/>
    </row>
    <row r="68" spans="1:10">
      <c r="A68" s="98" t="s">
        <v>89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0" ht="13.5" thickBot="1"/>
    <row r="70" spans="1:10" ht="27.75" customHeight="1" thickBot="1">
      <c r="A70" s="1"/>
      <c r="B70" s="1"/>
      <c r="C70" s="104" t="s">
        <v>47</v>
      </c>
      <c r="D70" s="105"/>
      <c r="E70" s="105"/>
      <c r="F70" s="106"/>
      <c r="G70" s="1"/>
      <c r="H70" s="1"/>
      <c r="I70" s="1"/>
      <c r="J70" s="1"/>
    </row>
    <row r="71" spans="1:10" ht="26.25" thickBot="1">
      <c r="A71" s="100" t="s">
        <v>58</v>
      </c>
      <c r="B71" s="101" t="s">
        <v>124</v>
      </c>
      <c r="C71" s="102" t="s">
        <v>77</v>
      </c>
      <c r="D71" s="102" t="s">
        <v>48</v>
      </c>
      <c r="E71" s="102" t="s">
        <v>49</v>
      </c>
      <c r="F71" s="102" t="s">
        <v>50</v>
      </c>
      <c r="G71" s="101" t="s">
        <v>51</v>
      </c>
      <c r="H71" s="101" t="s">
        <v>52</v>
      </c>
      <c r="I71" s="101" t="s">
        <v>11</v>
      </c>
      <c r="J71" s="103" t="s">
        <v>53</v>
      </c>
    </row>
    <row r="72" spans="1:10">
      <c r="A72" s="108" t="s">
        <v>46</v>
      </c>
      <c r="B72" s="86">
        <v>26284.879000000004</v>
      </c>
      <c r="C72" s="87">
        <v>10563.334731536535</v>
      </c>
      <c r="D72" s="86">
        <v>6702.2485818678797</v>
      </c>
      <c r="E72" s="86">
        <v>5253.2611385445334</v>
      </c>
      <c r="F72" s="86">
        <v>0</v>
      </c>
      <c r="G72" s="86">
        <v>3327.3850000000002</v>
      </c>
      <c r="H72" s="88">
        <f>G72/$G$77</f>
        <v>0.10248554911514414</v>
      </c>
      <c r="I72" s="86">
        <v>438.64954805104185</v>
      </c>
      <c r="J72" s="89">
        <f>SUM(B72:B72)/SUM(C72:G72)-1</f>
        <v>1.6971510249359723E-2</v>
      </c>
    </row>
    <row r="73" spans="1:10">
      <c r="A73" s="109" t="s">
        <v>45</v>
      </c>
      <c r="B73" s="87">
        <v>4092.3879999999999</v>
      </c>
      <c r="C73" s="87">
        <v>0</v>
      </c>
      <c r="D73" s="87">
        <v>8009.4995698804178</v>
      </c>
      <c r="E73" s="87">
        <v>5030.4983525285897</v>
      </c>
      <c r="F73" s="87">
        <v>0</v>
      </c>
      <c r="G73" s="87">
        <v>1226.681</v>
      </c>
      <c r="H73" s="90">
        <f>G73/$G$77</f>
        <v>3.7782545715062767E-2</v>
      </c>
      <c r="I73" s="87">
        <v>389.04380912752652</v>
      </c>
      <c r="J73" s="91">
        <f>SUM(B73:B73,C77)/SUM(C73:G73)-1</f>
        <v>2.7269402447716473E-2</v>
      </c>
    </row>
    <row r="74" spans="1:10">
      <c r="A74" s="109" t="s">
        <v>44</v>
      </c>
      <c r="B74" s="87">
        <v>4600.6205000000009</v>
      </c>
      <c r="C74" s="87">
        <v>0</v>
      </c>
      <c r="D74" s="87">
        <v>0</v>
      </c>
      <c r="E74" s="87">
        <v>15634.185564561974</v>
      </c>
      <c r="F74" s="87">
        <v>0.91549537580162421</v>
      </c>
      <c r="G74" s="87">
        <v>3305.4403912000002</v>
      </c>
      <c r="H74" s="90">
        <f>G74/$G$77</f>
        <v>0.10180964137288258</v>
      </c>
      <c r="I74" s="87">
        <v>371.82720061052123</v>
      </c>
      <c r="J74" s="91">
        <f>SUM(B74:B74,D77)/SUM(C74:G74)-1</f>
        <v>1.9631286759660416E-2</v>
      </c>
    </row>
    <row r="75" spans="1:10">
      <c r="A75" s="109" t="s">
        <v>43</v>
      </c>
      <c r="B75" s="87">
        <v>959.12099799999964</v>
      </c>
      <c r="C75" s="87">
        <v>0</v>
      </c>
      <c r="D75" s="87">
        <v>0</v>
      </c>
      <c r="E75" s="87">
        <v>0</v>
      </c>
      <c r="F75" s="87">
        <v>16544.526845237691</v>
      </c>
      <c r="G75" s="87">
        <v>9502.5166087999987</v>
      </c>
      <c r="H75" s="90">
        <f>G75/$G$77</f>
        <v>0.29268348346483658</v>
      </c>
      <c r="I75" s="87">
        <v>830.02059959740234</v>
      </c>
      <c r="J75" s="91">
        <f>SUM(B75:B75,E77)/SUM(C75:G75)-1</f>
        <v>3.1866288435463241E-2</v>
      </c>
    </row>
    <row r="76" spans="1:10" ht="13.5" thickBot="1">
      <c r="A76" s="110" t="s">
        <v>57</v>
      </c>
      <c r="B76" s="92">
        <v>1.9220000000000204</v>
      </c>
      <c r="C76" s="92">
        <v>0</v>
      </c>
      <c r="D76" s="87">
        <v>0</v>
      </c>
      <c r="E76" s="87">
        <v>0</v>
      </c>
      <c r="F76" s="87">
        <v>0</v>
      </c>
      <c r="G76" s="87">
        <v>15104.847000000002</v>
      </c>
      <c r="H76" s="93">
        <f>G76/$G$77</f>
        <v>0.46523878033207389</v>
      </c>
      <c r="I76" s="87">
        <v>1442.4933406135101</v>
      </c>
      <c r="J76" s="91">
        <f>SUM(B76:B76,F77)/SUM(C76:G76)-1</f>
        <v>9.5500294747340897E-2</v>
      </c>
    </row>
    <row r="77" spans="1:10" ht="13.5" thickBot="1">
      <c r="A77" s="94" t="s">
        <v>5</v>
      </c>
      <c r="B77" s="95">
        <f t="shared" ref="B77:I77" si="5">SUM(B72:B76)</f>
        <v>35938.930498000002</v>
      </c>
      <c r="C77" s="95">
        <f t="shared" si="5"/>
        <v>10563.334731536535</v>
      </c>
      <c r="D77" s="95">
        <f t="shared" si="5"/>
        <v>14711.748151748297</v>
      </c>
      <c r="E77" s="95">
        <f t="shared" si="5"/>
        <v>25917.9450556351</v>
      </c>
      <c r="F77" s="95">
        <f t="shared" si="5"/>
        <v>16545.442340613492</v>
      </c>
      <c r="G77" s="95">
        <f t="shared" si="5"/>
        <v>32466.870000000003</v>
      </c>
      <c r="H77" s="96">
        <f t="shared" si="5"/>
        <v>1</v>
      </c>
      <c r="I77" s="95">
        <f t="shared" si="5"/>
        <v>3472.0344980000023</v>
      </c>
      <c r="J77" s="96"/>
    </row>
  </sheetData>
  <pageMargins left="0.7" right="0.7" top="0.75" bottom="0.75" header="0.3" footer="0.3"/>
  <pageSetup paperSize="9" scale="71" orientation="portrait" r:id="rId1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dimension ref="A6:J77"/>
  <sheetViews>
    <sheetView showGridLines="0" workbookViewId="0"/>
  </sheetViews>
  <sheetFormatPr baseColWidth="10" defaultRowHeight="12.75"/>
  <cols>
    <col min="1" max="1" width="21.42578125" customWidth="1"/>
  </cols>
  <sheetData>
    <row r="6" spans="1:10" ht="15">
      <c r="A6" s="97" t="s">
        <v>54</v>
      </c>
    </row>
    <row r="8" spans="1:10">
      <c r="A8" s="98" t="s">
        <v>55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ht="13.5" thickBot="1"/>
    <row r="10" spans="1:10" ht="27.75" customHeight="1" thickBot="1">
      <c r="A10" s="1"/>
      <c r="B10" s="1"/>
      <c r="C10" s="104" t="s">
        <v>47</v>
      </c>
      <c r="D10" s="105"/>
      <c r="E10" s="105"/>
      <c r="F10" s="106"/>
      <c r="G10" s="1"/>
      <c r="H10" s="1"/>
      <c r="I10" s="1"/>
      <c r="J10" s="1"/>
    </row>
    <row r="11" spans="1:10" ht="26.25" thickBot="1">
      <c r="A11" s="100" t="s">
        <v>58</v>
      </c>
      <c r="B11" s="101" t="s">
        <v>124</v>
      </c>
      <c r="C11" s="102" t="s">
        <v>77</v>
      </c>
      <c r="D11" s="102" t="s">
        <v>48</v>
      </c>
      <c r="E11" s="102" t="s">
        <v>49</v>
      </c>
      <c r="F11" s="102" t="s">
        <v>50</v>
      </c>
      <c r="G11" s="101" t="s">
        <v>51</v>
      </c>
      <c r="H11" s="101" t="s">
        <v>52</v>
      </c>
      <c r="I11" s="101" t="s">
        <v>11</v>
      </c>
      <c r="J11" s="103" t="s">
        <v>53</v>
      </c>
    </row>
    <row r="12" spans="1:10">
      <c r="A12" s="108" t="s">
        <v>46</v>
      </c>
      <c r="B12" s="86">
        <v>17866263.744189039</v>
      </c>
      <c r="C12" s="87">
        <v>7235796.6468319464</v>
      </c>
      <c r="D12" s="86">
        <v>4476056.3639625357</v>
      </c>
      <c r="E12" s="86">
        <v>3993494.4227491878</v>
      </c>
      <c r="F12" s="86">
        <v>0</v>
      </c>
      <c r="G12" s="86">
        <v>1881964.6789971299</v>
      </c>
      <c r="H12" s="88">
        <f>G12/$G$17</f>
        <v>7.8378554550148583E-2</v>
      </c>
      <c r="I12" s="86">
        <v>278951.63164824317</v>
      </c>
      <c r="J12" s="89">
        <f>SUM(B12:B12)/SUM(C12:G12)-1</f>
        <v>1.5860958733388886E-2</v>
      </c>
    </row>
    <row r="13" spans="1:10">
      <c r="A13" s="109" t="s">
        <v>45</v>
      </c>
      <c r="B13" s="87">
        <v>3249566.3954774784</v>
      </c>
      <c r="C13" s="87">
        <v>0</v>
      </c>
      <c r="D13" s="87">
        <v>5605505.3350200979</v>
      </c>
      <c r="E13" s="87">
        <v>3848520.6248624362</v>
      </c>
      <c r="F13" s="87">
        <v>0</v>
      </c>
      <c r="G13" s="87">
        <v>824693.46379461326</v>
      </c>
      <c r="H13" s="90">
        <f>G13/$G$17</f>
        <v>3.4346171509245238E-2</v>
      </c>
      <c r="I13" s="87">
        <v>206643.54081472533</v>
      </c>
      <c r="J13" s="91">
        <f>SUM(B13:B13,C17)/SUM(C13:G13)-1</f>
        <v>2.0104023674026195E-2</v>
      </c>
    </row>
    <row r="14" spans="1:10">
      <c r="A14" s="109" t="s">
        <v>44</v>
      </c>
      <c r="B14" s="87">
        <v>3505954.6898312559</v>
      </c>
      <c r="C14" s="87">
        <v>0</v>
      </c>
      <c r="D14" s="87">
        <v>0</v>
      </c>
      <c r="E14" s="87">
        <v>11201616.73657891</v>
      </c>
      <c r="F14" s="87">
        <v>573.08640332234734</v>
      </c>
      <c r="G14" s="87">
        <v>2177041.195024367</v>
      </c>
      <c r="H14" s="90">
        <f>G14/$G$17</f>
        <v>9.0667664471293846E-2</v>
      </c>
      <c r="I14" s="87">
        <v>208285.37084070046</v>
      </c>
      <c r="J14" s="91">
        <f>SUM(B14:B14,D17)/SUM(C14:G14)-1</f>
        <v>1.5567813316547774E-2</v>
      </c>
    </row>
    <row r="15" spans="1:10">
      <c r="A15" s="109" t="s">
        <v>43</v>
      </c>
      <c r="B15" s="87">
        <v>1074452.3208884438</v>
      </c>
      <c r="C15" s="87">
        <v>0</v>
      </c>
      <c r="D15" s="87">
        <v>0</v>
      </c>
      <c r="E15" s="87">
        <v>0</v>
      </c>
      <c r="F15" s="87">
        <v>12664666.281130971</v>
      </c>
      <c r="G15" s="87">
        <v>7085107.3961960077</v>
      </c>
      <c r="H15" s="90">
        <f>G15/$G$17</f>
        <v>0.29507486657099841</v>
      </c>
      <c r="I15" s="87">
        <v>368310.42775199685</v>
      </c>
      <c r="J15" s="91">
        <f>SUM(B15:B15,E17)/SUM(C15:G15)-1</f>
        <v>1.8648842957366574E-2</v>
      </c>
    </row>
    <row r="16" spans="1:10" ht="13.5" thickBot="1">
      <c r="A16" s="110" t="s">
        <v>57</v>
      </c>
      <c r="B16" s="92">
        <v>335283.71333534177</v>
      </c>
      <c r="C16" s="92">
        <v>0</v>
      </c>
      <c r="D16" s="87">
        <v>0</v>
      </c>
      <c r="E16" s="87">
        <v>0</v>
      </c>
      <c r="F16" s="87">
        <v>0</v>
      </c>
      <c r="G16" s="87">
        <v>12042412.786411691</v>
      </c>
      <c r="H16" s="93">
        <f>G16/$G$17</f>
        <v>0.50153274289831395</v>
      </c>
      <c r="I16" s="87">
        <v>958110.19537225389</v>
      </c>
      <c r="J16" s="91">
        <f>SUM(B16:B16,F17)/SUM(C16:G16)-1</f>
        <v>7.9561323087931957E-2</v>
      </c>
    </row>
    <row r="17" spans="1:10" ht="13.5" thickBot="1">
      <c r="A17" s="94" t="s">
        <v>5</v>
      </c>
      <c r="B17" s="95">
        <f t="shared" ref="B17:I17" si="0">SUM(B12:B16)</f>
        <v>26031520.863721561</v>
      </c>
      <c r="C17" s="95">
        <f t="shared" si="0"/>
        <v>7235796.6468319464</v>
      </c>
      <c r="D17" s="95">
        <f t="shared" si="0"/>
        <v>10081561.698982634</v>
      </c>
      <c r="E17" s="95">
        <f t="shared" si="0"/>
        <v>19043631.784190536</v>
      </c>
      <c r="F17" s="95">
        <f t="shared" si="0"/>
        <v>12665239.367534293</v>
      </c>
      <c r="G17" s="95">
        <f t="shared" si="0"/>
        <v>24011219.520423807</v>
      </c>
      <c r="H17" s="96">
        <f>SUM(H12:H16)</f>
        <v>1</v>
      </c>
      <c r="I17" s="95">
        <f t="shared" si="0"/>
        <v>2020301.1664279196</v>
      </c>
      <c r="J17" s="96"/>
    </row>
    <row r="20" spans="1:10">
      <c r="A20" s="98" t="s">
        <v>78</v>
      </c>
      <c r="B20" s="99"/>
      <c r="C20" s="99"/>
      <c r="D20" s="99"/>
      <c r="E20" s="99"/>
      <c r="F20" s="99"/>
      <c r="G20" s="99"/>
      <c r="H20" s="99"/>
      <c r="I20" s="99"/>
      <c r="J20" s="99"/>
    </row>
    <row r="21" spans="1:10" ht="13.5" thickBot="1"/>
    <row r="22" spans="1:10" ht="27.75" customHeight="1" thickBot="1">
      <c r="A22" s="1"/>
      <c r="B22" s="1"/>
      <c r="C22" s="104" t="s">
        <v>47</v>
      </c>
      <c r="D22" s="105"/>
      <c r="E22" s="105"/>
      <c r="F22" s="106"/>
      <c r="G22" s="1"/>
      <c r="H22" s="1"/>
      <c r="I22" s="1"/>
      <c r="J22" s="1"/>
    </row>
    <row r="23" spans="1:10" ht="26.25" thickBot="1">
      <c r="A23" s="100" t="s">
        <v>58</v>
      </c>
      <c r="B23" s="101" t="s">
        <v>124</v>
      </c>
      <c r="C23" s="102" t="s">
        <v>77</v>
      </c>
      <c r="D23" s="102" t="s">
        <v>48</v>
      </c>
      <c r="E23" s="102" t="s">
        <v>49</v>
      </c>
      <c r="F23" s="102" t="s">
        <v>50</v>
      </c>
      <c r="G23" s="101" t="s">
        <v>51</v>
      </c>
      <c r="H23" s="101" t="s">
        <v>52</v>
      </c>
      <c r="I23" s="101" t="s">
        <v>11</v>
      </c>
      <c r="J23" s="103" t="s">
        <v>53</v>
      </c>
    </row>
    <row r="24" spans="1:10">
      <c r="A24" s="108" t="s">
        <v>46</v>
      </c>
      <c r="B24" s="86">
        <v>21982836.79964846</v>
      </c>
      <c r="C24" s="87">
        <v>8857006.4495208301</v>
      </c>
      <c r="D24" s="86">
        <v>5430386.9029432982</v>
      </c>
      <c r="E24" s="86">
        <v>4841125.902634169</v>
      </c>
      <c r="F24" s="86">
        <v>0</v>
      </c>
      <c r="G24" s="86">
        <v>2539590.9881545096</v>
      </c>
      <c r="H24" s="88">
        <f>G24/$G$29</f>
        <v>8.5017408395796329E-2</v>
      </c>
      <c r="I24" s="86">
        <v>314726.55639565457</v>
      </c>
      <c r="J24" s="89">
        <f>SUM(B24:B24)/SUM(C24:G24)-1</f>
        <v>1.4524873321320575E-2</v>
      </c>
    </row>
    <row r="25" spans="1:10">
      <c r="A25" s="109" t="s">
        <v>45</v>
      </c>
      <c r="B25" s="87">
        <v>4009958.3234041389</v>
      </c>
      <c r="C25" s="87">
        <v>0</v>
      </c>
      <c r="D25" s="87">
        <v>6904960.0518713109</v>
      </c>
      <c r="E25" s="87">
        <v>4615588.5299025504</v>
      </c>
      <c r="F25" s="87">
        <v>0</v>
      </c>
      <c r="G25" s="87">
        <v>1082929.1803236497</v>
      </c>
      <c r="H25" s="90">
        <f>G25/$G$29</f>
        <v>3.6253015866230212E-2</v>
      </c>
      <c r="I25" s="87">
        <v>263486.87989212491</v>
      </c>
      <c r="J25" s="91">
        <f>SUM(B25:B25,C29)/SUM(C25:G25)-1</f>
        <v>2.0905897229401393E-2</v>
      </c>
    </row>
    <row r="26" spans="1:10">
      <c r="A26" s="109" t="s">
        <v>44</v>
      </c>
      <c r="B26" s="87">
        <v>4631651.6566316029</v>
      </c>
      <c r="C26" s="87">
        <v>0</v>
      </c>
      <c r="D26" s="87">
        <v>0</v>
      </c>
      <c r="E26" s="87">
        <v>13891085.748799376</v>
      </c>
      <c r="F26" s="87">
        <v>860.28576327175892</v>
      </c>
      <c r="G26" s="87">
        <v>2813219.6408192264</v>
      </c>
      <c r="H26" s="90">
        <f>G26/$G$29</f>
        <v>9.417762317876531E-2</v>
      </c>
      <c r="I26" s="87">
        <v>261832.93612054735</v>
      </c>
      <c r="J26" s="91">
        <f>SUM(B26:B26,D29)/SUM(C26:G26)-1</f>
        <v>1.5673770685806332E-2</v>
      </c>
    </row>
    <row r="27" spans="1:10">
      <c r="A27" s="109" t="s">
        <v>43</v>
      </c>
      <c r="B27" s="87">
        <v>1341983.9079364382</v>
      </c>
      <c r="C27" s="87">
        <v>0</v>
      </c>
      <c r="D27" s="87">
        <v>0</v>
      </c>
      <c r="E27" s="87">
        <v>0</v>
      </c>
      <c r="F27" s="87">
        <v>15452999.441202097</v>
      </c>
      <c r="G27" s="87">
        <v>8771333.4543451685</v>
      </c>
      <c r="H27" s="90">
        <f>G27/$G$29</f>
        <v>0.29363627526717484</v>
      </c>
      <c r="I27" s="87">
        <v>465451.19372527074</v>
      </c>
      <c r="J27" s="91">
        <f>SUM(B27:B27,E29)/SUM(C27:G27)-1</f>
        <v>1.9214200685411909E-2</v>
      </c>
    </row>
    <row r="28" spans="1:10" ht="13.5" thickBot="1">
      <c r="A28" s="110" t="s">
        <v>57</v>
      </c>
      <c r="B28" s="92">
        <v>455829.38279185974</v>
      </c>
      <c r="C28" s="92">
        <v>0</v>
      </c>
      <c r="D28" s="87">
        <v>0</v>
      </c>
      <c r="E28" s="87">
        <v>0</v>
      </c>
      <c r="F28" s="87">
        <v>0</v>
      </c>
      <c r="G28" s="87">
        <v>14664349.966897596</v>
      </c>
      <c r="H28" s="93">
        <f>G28/$G$29</f>
        <v>0.49091567729203334</v>
      </c>
      <c r="I28" s="87">
        <v>1245339.1234226846</v>
      </c>
      <c r="J28" s="91">
        <f>SUM(B28:B28,F29)/SUM(C28:G28)-1</f>
        <v>8.4922901163078102E-2</v>
      </c>
    </row>
    <row r="29" spans="1:10" ht="13.5" thickBot="1">
      <c r="A29" s="94" t="s">
        <v>5</v>
      </c>
      <c r="B29" s="95">
        <f t="shared" ref="B29:I29" si="1">SUM(B24:B28)</f>
        <v>32422260.070412498</v>
      </c>
      <c r="C29" s="95">
        <f t="shared" si="1"/>
        <v>8857006.4495208301</v>
      </c>
      <c r="D29" s="95">
        <f t="shared" si="1"/>
        <v>12335346.954814609</v>
      </c>
      <c r="E29" s="95">
        <f t="shared" si="1"/>
        <v>23347800.181336097</v>
      </c>
      <c r="F29" s="95">
        <f t="shared" si="1"/>
        <v>15453859.726965368</v>
      </c>
      <c r="G29" s="95">
        <f t="shared" si="1"/>
        <v>29871423.230540149</v>
      </c>
      <c r="H29" s="96">
        <f t="shared" si="1"/>
        <v>1</v>
      </c>
      <c r="I29" s="95">
        <f t="shared" si="1"/>
        <v>2550836.689556282</v>
      </c>
      <c r="J29" s="96"/>
    </row>
    <row r="32" spans="1:10">
      <c r="A32" s="98" t="s">
        <v>79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13.5" thickBot="1"/>
    <row r="34" spans="1:10" ht="27.75" customHeight="1" thickBot="1">
      <c r="A34" s="1"/>
      <c r="B34" s="1"/>
      <c r="C34" s="104" t="s">
        <v>47</v>
      </c>
      <c r="D34" s="105"/>
      <c r="E34" s="105"/>
      <c r="F34" s="106"/>
      <c r="G34" s="1"/>
      <c r="H34" s="1"/>
      <c r="I34" s="1"/>
      <c r="J34" s="1"/>
    </row>
    <row r="35" spans="1:10" ht="26.25" thickBot="1">
      <c r="A35" s="100" t="s">
        <v>58</v>
      </c>
      <c r="B35" s="101" t="s">
        <v>124</v>
      </c>
      <c r="C35" s="102" t="s">
        <v>77</v>
      </c>
      <c r="D35" s="102" t="s">
        <v>48</v>
      </c>
      <c r="E35" s="102" t="s">
        <v>49</v>
      </c>
      <c r="F35" s="102" t="s">
        <v>50</v>
      </c>
      <c r="G35" s="101" t="s">
        <v>51</v>
      </c>
      <c r="H35" s="101" t="s">
        <v>52</v>
      </c>
      <c r="I35" s="101" t="s">
        <v>11</v>
      </c>
      <c r="J35" s="103" t="s">
        <v>53</v>
      </c>
    </row>
    <row r="36" spans="1:10">
      <c r="A36" s="108" t="s">
        <v>46</v>
      </c>
      <c r="B36" s="86">
        <v>18274853.052189149</v>
      </c>
      <c r="C36" s="87">
        <v>7225659.873008905</v>
      </c>
      <c r="D36" s="86">
        <v>4381114.7072535744</v>
      </c>
      <c r="E36" s="86">
        <v>3971935.7233925788</v>
      </c>
      <c r="F36" s="86">
        <v>0</v>
      </c>
      <c r="G36" s="86">
        <v>2416503.4050016818</v>
      </c>
      <c r="H36" s="88">
        <f>G36/$G$41</f>
        <v>9.5009006243666302E-2</v>
      </c>
      <c r="I36" s="86">
        <v>279639.34353241004</v>
      </c>
      <c r="J36" s="89">
        <f>SUM(B36:B36)/SUM(C36:G36)-1</f>
        <v>1.5539651157234546E-2</v>
      </c>
    </row>
    <row r="37" spans="1:10">
      <c r="A37" s="109" t="s">
        <v>45</v>
      </c>
      <c r="B37" s="87">
        <v>3645172.785549263</v>
      </c>
      <c r="C37" s="87">
        <v>0</v>
      </c>
      <c r="D37" s="87">
        <v>5744728.5975128626</v>
      </c>
      <c r="E37" s="87">
        <v>3882659.8393952646</v>
      </c>
      <c r="F37" s="87">
        <v>0</v>
      </c>
      <c r="G37" s="87">
        <v>1005186.0788897962</v>
      </c>
      <c r="H37" s="90">
        <f>G37/$G$41</f>
        <v>3.9520627302911095E-2</v>
      </c>
      <c r="I37" s="87">
        <v>238258.12830409428</v>
      </c>
      <c r="J37" s="91">
        <f>SUM(B37:B37,C41)/SUM(C37:G37)-1</f>
        <v>2.2408320995657149E-2</v>
      </c>
    </row>
    <row r="38" spans="1:10">
      <c r="A38" s="109" t="s">
        <v>44</v>
      </c>
      <c r="B38" s="87">
        <v>4150960.9435451706</v>
      </c>
      <c r="C38" s="87">
        <v>0</v>
      </c>
      <c r="D38" s="87">
        <v>0</v>
      </c>
      <c r="E38" s="87">
        <v>11549205.319025908</v>
      </c>
      <c r="F38" s="87">
        <v>696.03442888357085</v>
      </c>
      <c r="G38" s="87">
        <v>2483390.8420720831</v>
      </c>
      <c r="H38" s="90">
        <f>G38/$G$41</f>
        <v>9.7638801390278224E-2</v>
      </c>
      <c r="I38" s="87">
        <v>243512.05279043299</v>
      </c>
      <c r="J38" s="91">
        <f>SUM(B38:B38,D41)/SUM(C38:G38)-1</f>
        <v>1.7352453678856072E-2</v>
      </c>
    </row>
    <row r="39" spans="1:10">
      <c r="A39" s="109" t="s">
        <v>43</v>
      </c>
      <c r="B39" s="87">
        <v>1213746.5152487438</v>
      </c>
      <c r="C39" s="87">
        <v>0</v>
      </c>
      <c r="D39" s="87">
        <v>0</v>
      </c>
      <c r="E39" s="87">
        <v>0</v>
      </c>
      <c r="F39" s="87">
        <v>12664254.28060966</v>
      </c>
      <c r="G39" s="87">
        <v>7505713.5968069099</v>
      </c>
      <c r="H39" s="90">
        <f>G39/$G$41</f>
        <v>0.29510009731672715</v>
      </c>
      <c r="I39" s="87">
        <v>447579.51964592503</v>
      </c>
      <c r="J39" s="91">
        <f>SUM(B39:B39,E41)/SUM(C39:G39)-1</f>
        <v>2.2190393280053788E-2</v>
      </c>
    </row>
    <row r="40" spans="1:10" ht="13.5" thickBot="1">
      <c r="A40" s="110" t="s">
        <v>57</v>
      </c>
      <c r="B40" s="92">
        <v>378968.12580676621</v>
      </c>
      <c r="C40" s="92">
        <v>0</v>
      </c>
      <c r="D40" s="87">
        <v>0</v>
      </c>
      <c r="E40" s="87">
        <v>0</v>
      </c>
      <c r="F40" s="87">
        <v>0</v>
      </c>
      <c r="G40" s="87">
        <v>12023672.771935916</v>
      </c>
      <c r="H40" s="93">
        <f>G40/$G$41</f>
        <v>0.47273146774641722</v>
      </c>
      <c r="I40" s="87">
        <v>1020245.6601118601</v>
      </c>
      <c r="J40" s="91">
        <f>SUM(B40:B40,F41)/SUM(C40:G40)-1</f>
        <v>8.4853080107994749E-2</v>
      </c>
    </row>
    <row r="41" spans="1:10" ht="13.5" thickBot="1">
      <c r="A41" s="94" t="s">
        <v>5</v>
      </c>
      <c r="B41" s="95">
        <f t="shared" ref="B41:I41" si="2">SUM(B36:B40)</f>
        <v>27663701.422339093</v>
      </c>
      <c r="C41" s="95">
        <f t="shared" si="2"/>
        <v>7225659.873008905</v>
      </c>
      <c r="D41" s="95">
        <f t="shared" si="2"/>
        <v>10125843.304766437</v>
      </c>
      <c r="E41" s="95">
        <f t="shared" si="2"/>
        <v>19403800.88181375</v>
      </c>
      <c r="F41" s="95">
        <f t="shared" si="2"/>
        <v>12664950.315038543</v>
      </c>
      <c r="G41" s="95">
        <f t="shared" si="2"/>
        <v>25434466.694706388</v>
      </c>
      <c r="H41" s="96">
        <f t="shared" si="2"/>
        <v>1</v>
      </c>
      <c r="I41" s="95">
        <f t="shared" si="2"/>
        <v>2229234.7043847227</v>
      </c>
      <c r="J41" s="96"/>
    </row>
    <row r="44" spans="1:10">
      <c r="A44" s="98" t="s">
        <v>80</v>
      </c>
      <c r="B44" s="99"/>
      <c r="C44" s="99"/>
      <c r="D44" s="99"/>
      <c r="E44" s="99"/>
      <c r="F44" s="99"/>
      <c r="G44" s="99"/>
      <c r="H44" s="99"/>
      <c r="I44" s="99"/>
      <c r="J44" s="99"/>
    </row>
    <row r="45" spans="1:10" ht="13.5" thickBot="1"/>
    <row r="46" spans="1:10" ht="27.75" customHeight="1" thickBot="1">
      <c r="A46" s="1"/>
      <c r="B46" s="1"/>
      <c r="C46" s="104" t="s">
        <v>47</v>
      </c>
      <c r="D46" s="105"/>
      <c r="E46" s="105"/>
      <c r="F46" s="106"/>
      <c r="G46" s="1"/>
      <c r="H46" s="1"/>
      <c r="I46" s="1"/>
      <c r="J46" s="1"/>
    </row>
    <row r="47" spans="1:10" ht="26.25" thickBot="1">
      <c r="A47" s="100" t="s">
        <v>58</v>
      </c>
      <c r="B47" s="101" t="s">
        <v>124</v>
      </c>
      <c r="C47" s="102" t="s">
        <v>77</v>
      </c>
      <c r="D47" s="102" t="s">
        <v>48</v>
      </c>
      <c r="E47" s="102" t="s">
        <v>49</v>
      </c>
      <c r="F47" s="102" t="s">
        <v>50</v>
      </c>
      <c r="G47" s="101" t="s">
        <v>51</v>
      </c>
      <c r="H47" s="101" t="s">
        <v>52</v>
      </c>
      <c r="I47" s="101" t="s">
        <v>11</v>
      </c>
      <c r="J47" s="103" t="s">
        <v>53</v>
      </c>
    </row>
    <row r="48" spans="1:10">
      <c r="A48" s="108" t="s">
        <v>46</v>
      </c>
      <c r="B48" s="86">
        <v>21079340.594202269</v>
      </c>
      <c r="C48" s="87">
        <v>8275156.5386646995</v>
      </c>
      <c r="D48" s="86">
        <v>5009705.3910670467</v>
      </c>
      <c r="E48" s="86">
        <v>4558009.4988105791</v>
      </c>
      <c r="F48" s="86">
        <v>0</v>
      </c>
      <c r="G48" s="86">
        <v>2939425.4489664505</v>
      </c>
      <c r="H48" s="88">
        <f>G48/$G$53</f>
        <v>9.9072801620230272E-2</v>
      </c>
      <c r="I48" s="86">
        <v>297043.7166934901</v>
      </c>
      <c r="J48" s="89">
        <f>SUM(B48:B48)/SUM(C48:G48)-1</f>
        <v>1.4293112953023268E-2</v>
      </c>
    </row>
    <row r="49" spans="1:10">
      <c r="A49" s="109" t="s">
        <v>45</v>
      </c>
      <c r="B49" s="87">
        <v>4324007.105800082</v>
      </c>
      <c r="C49" s="87">
        <v>0</v>
      </c>
      <c r="D49" s="87">
        <v>6631417.2115451442</v>
      </c>
      <c r="E49" s="87">
        <v>4477429.6166103035</v>
      </c>
      <c r="F49" s="87">
        <v>0</v>
      </c>
      <c r="G49" s="87">
        <v>1219704.7483905011</v>
      </c>
      <c r="H49" s="90">
        <f>G49/$G$53</f>
        <v>4.1109927321012388E-2</v>
      </c>
      <c r="I49" s="87">
        <v>270612.05903595121</v>
      </c>
      <c r="J49" s="91">
        <f>SUM(B49:B49,C53)/SUM(C49:G49)-1</f>
        <v>2.1950029266507798E-2</v>
      </c>
    </row>
    <row r="50" spans="1:10">
      <c r="A50" s="109" t="s">
        <v>44</v>
      </c>
      <c r="B50" s="87">
        <v>4818860.4926933544</v>
      </c>
      <c r="C50" s="87">
        <v>0</v>
      </c>
      <c r="D50" s="87">
        <v>0</v>
      </c>
      <c r="E50" s="87">
        <v>13200185.507522309</v>
      </c>
      <c r="F50" s="87">
        <v>800.81757159665938</v>
      </c>
      <c r="G50" s="87">
        <v>2973407.606992824</v>
      </c>
      <c r="H50" s="90">
        <f>G50/$G$53</f>
        <v>0.10021816409300807</v>
      </c>
      <c r="I50" s="87">
        <v>285589.16322223929</v>
      </c>
      <c r="J50" s="91">
        <f>SUM(B50:B50,D53)/SUM(C50:G50)-1</f>
        <v>1.765686951968326E-2</v>
      </c>
    </row>
    <row r="51" spans="1:10">
      <c r="A51" s="109" t="s">
        <v>43</v>
      </c>
      <c r="B51" s="87">
        <v>1521130.4597577453</v>
      </c>
      <c r="C51" s="87">
        <v>0</v>
      </c>
      <c r="D51" s="87">
        <v>0</v>
      </c>
      <c r="E51" s="87">
        <v>0</v>
      </c>
      <c r="F51" s="87">
        <v>14348160.520468023</v>
      </c>
      <c r="G51" s="87">
        <v>8937002.8365324531</v>
      </c>
      <c r="H51" s="90">
        <f>G51/$G$53</f>
        <v>0.30122005965980214</v>
      </c>
      <c r="I51" s="87">
        <v>471591.72570046294</v>
      </c>
      <c r="J51" s="91">
        <f>SUM(B51:B51,E53)/SUM(C51:G51)-1</f>
        <v>2.0252884571612118E-2</v>
      </c>
    </row>
    <row r="52" spans="1:10" ht="13.5" thickBot="1">
      <c r="A52" s="110" t="s">
        <v>57</v>
      </c>
      <c r="B52" s="92">
        <v>503167.7587193498</v>
      </c>
      <c r="C52" s="92">
        <v>0</v>
      </c>
      <c r="D52" s="87">
        <v>0</v>
      </c>
      <c r="E52" s="87">
        <v>0</v>
      </c>
      <c r="F52" s="87">
        <v>0</v>
      </c>
      <c r="G52" s="87">
        <v>13599807.564632045</v>
      </c>
      <c r="H52" s="93">
        <f>G52/$G$53</f>
        <v>0.45837904730594714</v>
      </c>
      <c r="I52" s="87">
        <v>1252321.5234518719</v>
      </c>
      <c r="J52" s="91">
        <f>SUM(B52:B52,F53)/SUM(C52:G52)-1</f>
        <v>9.2083768551529888E-2</v>
      </c>
    </row>
    <row r="53" spans="1:10" ht="13.5" thickBot="1">
      <c r="A53" s="94" t="s">
        <v>5</v>
      </c>
      <c r="B53" s="95">
        <f t="shared" ref="B53:I53" si="3">SUM(B48:B52)</f>
        <v>32246506.4111728</v>
      </c>
      <c r="C53" s="95">
        <f t="shared" si="3"/>
        <v>8275156.5386646995</v>
      </c>
      <c r="D53" s="95">
        <f t="shared" si="3"/>
        <v>11641122.60261219</v>
      </c>
      <c r="E53" s="95">
        <f t="shared" si="3"/>
        <v>22235624.622943193</v>
      </c>
      <c r="F53" s="95">
        <f t="shared" si="3"/>
        <v>14348961.33803962</v>
      </c>
      <c r="G53" s="95">
        <f t="shared" si="3"/>
        <v>29669348.205514275</v>
      </c>
      <c r="H53" s="96">
        <f t="shared" si="3"/>
        <v>1</v>
      </c>
      <c r="I53" s="95">
        <f t="shared" si="3"/>
        <v>2577158.1881040158</v>
      </c>
      <c r="J53" s="96"/>
    </row>
    <row r="56" spans="1:10">
      <c r="A56" s="98" t="s">
        <v>81</v>
      </c>
      <c r="B56" s="99"/>
      <c r="C56" s="99"/>
      <c r="D56" s="99"/>
      <c r="E56" s="99"/>
      <c r="F56" s="99"/>
      <c r="G56" s="99"/>
      <c r="H56" s="99"/>
      <c r="I56" s="99"/>
      <c r="J56" s="99"/>
    </row>
    <row r="57" spans="1:10" ht="13.5" thickBot="1"/>
    <row r="58" spans="1:10" ht="27.75" customHeight="1" thickBot="1">
      <c r="A58" s="1"/>
      <c r="B58" s="1"/>
      <c r="C58" s="104" t="s">
        <v>47</v>
      </c>
      <c r="D58" s="105"/>
      <c r="E58" s="105"/>
      <c r="F58" s="106"/>
      <c r="G58" s="1"/>
      <c r="H58" s="1"/>
      <c r="I58" s="1"/>
      <c r="J58" s="1"/>
    </row>
    <row r="59" spans="1:10" ht="26.25" thickBot="1">
      <c r="A59" s="100" t="s">
        <v>58</v>
      </c>
      <c r="B59" s="101" t="s">
        <v>124</v>
      </c>
      <c r="C59" s="102" t="s">
        <v>77</v>
      </c>
      <c r="D59" s="102" t="s">
        <v>48</v>
      </c>
      <c r="E59" s="102" t="s">
        <v>49</v>
      </c>
      <c r="F59" s="102" t="s">
        <v>50</v>
      </c>
      <c r="G59" s="101" t="s">
        <v>51</v>
      </c>
      <c r="H59" s="101" t="s">
        <v>52</v>
      </c>
      <c r="I59" s="101" t="s">
        <v>11</v>
      </c>
      <c r="J59" s="103" t="s">
        <v>53</v>
      </c>
    </row>
    <row r="60" spans="1:10">
      <c r="A60" s="108" t="s">
        <v>46</v>
      </c>
      <c r="B60" s="86">
        <v>9294255.0135473348</v>
      </c>
      <c r="C60" s="87">
        <v>3635374.8027116414</v>
      </c>
      <c r="D60" s="86">
        <v>2208419.646955776</v>
      </c>
      <c r="E60" s="86">
        <v>2016658.056107684</v>
      </c>
      <c r="F60" s="86">
        <v>0</v>
      </c>
      <c r="G60" s="86">
        <v>1315625.1390624999</v>
      </c>
      <c r="H60" s="88">
        <f>G60/$G$65</f>
        <v>9.9452322767230747E-2</v>
      </c>
      <c r="I60" s="86">
        <v>118177.36870973151</v>
      </c>
      <c r="J60" s="89">
        <f>SUM(B60:B60)/SUM(C60:G60)-1</f>
        <v>1.2878854482690549E-2</v>
      </c>
    </row>
    <row r="61" spans="1:10">
      <c r="A61" s="109" t="s">
        <v>45</v>
      </c>
      <c r="B61" s="87">
        <v>1966468.5754644494</v>
      </c>
      <c r="C61" s="87">
        <v>0</v>
      </c>
      <c r="D61" s="87">
        <v>2935961.665055797</v>
      </c>
      <c r="E61" s="87">
        <v>2002493.2399390705</v>
      </c>
      <c r="F61" s="87">
        <v>0</v>
      </c>
      <c r="G61" s="87">
        <v>546949.6974375</v>
      </c>
      <c r="H61" s="90">
        <f>G61/$G$65</f>
        <v>4.1345681404168839E-2</v>
      </c>
      <c r="I61" s="87">
        <v>116438.77574372414</v>
      </c>
      <c r="J61" s="91">
        <f>SUM(B61:B61,C65)/SUM(C61:G61)-1</f>
        <v>2.1227016816971256E-2</v>
      </c>
    </row>
    <row r="62" spans="1:10">
      <c r="A62" s="109" t="s">
        <v>44</v>
      </c>
      <c r="B62" s="87">
        <v>2148562.5115293255</v>
      </c>
      <c r="C62" s="87">
        <v>0</v>
      </c>
      <c r="D62" s="87">
        <v>0</v>
      </c>
      <c r="E62" s="87">
        <v>5824290.6358292149</v>
      </c>
      <c r="F62" s="87">
        <v>358.21582107719257</v>
      </c>
      <c r="G62" s="87">
        <v>1343549.7516008748</v>
      </c>
      <c r="H62" s="90">
        <f>G62/$G$65</f>
        <v>0.10156323376828938</v>
      </c>
      <c r="I62" s="87">
        <v>124745.22028973185</v>
      </c>
      <c r="J62" s="91">
        <f>SUM(B62:B62,D65)/SUM(C62:G62)-1</f>
        <v>1.7402589854744521E-2</v>
      </c>
    </row>
    <row r="63" spans="1:10">
      <c r="A63" s="109" t="s">
        <v>43</v>
      </c>
      <c r="B63" s="87">
        <v>711411.95131199656</v>
      </c>
      <c r="C63" s="87">
        <v>0</v>
      </c>
      <c r="D63" s="87">
        <v>0</v>
      </c>
      <c r="E63" s="87">
        <v>0</v>
      </c>
      <c r="F63" s="87">
        <v>6308012.9833835885</v>
      </c>
      <c r="G63" s="87">
        <v>4060505.0706491247</v>
      </c>
      <c r="H63" s="90">
        <f>G63/$G$65</f>
        <v>0.30694659815632308</v>
      </c>
      <c r="I63" s="87">
        <v>186335.82915525488</v>
      </c>
      <c r="J63" s="91">
        <f>SUM(B63:B63,E65)/SUM(C63:G63)-1</f>
        <v>1.7971307778432255E-2</v>
      </c>
    </row>
    <row r="64" spans="1:10" ht="13.5" thickBot="1">
      <c r="A64" s="110" t="s">
        <v>57</v>
      </c>
      <c r="B64" s="92">
        <v>231332.97427724185</v>
      </c>
      <c r="C64" s="92">
        <v>0</v>
      </c>
      <c r="D64" s="87">
        <v>0</v>
      </c>
      <c r="E64" s="87">
        <v>0</v>
      </c>
      <c r="F64" s="87">
        <v>0</v>
      </c>
      <c r="G64" s="87">
        <v>5962072.3208079338</v>
      </c>
      <c r="H64" s="93">
        <f>G64/$G$65</f>
        <v>0.45069216390398792</v>
      </c>
      <c r="I64" s="87">
        <v>577631.85270025639</v>
      </c>
      <c r="J64" s="91">
        <f>SUM(B64:B64,F65)/SUM(C64:G64)-1</f>
        <v>9.6884408908964437E-2</v>
      </c>
    </row>
    <row r="65" spans="1:10" ht="13.5" thickBot="1">
      <c r="A65" s="94" t="s">
        <v>5</v>
      </c>
      <c r="B65" s="95">
        <f t="shared" ref="B65:I65" si="4">SUM(B60:B64)</f>
        <v>14352031.026130348</v>
      </c>
      <c r="C65" s="95">
        <f t="shared" si="4"/>
        <v>3635374.8027116414</v>
      </c>
      <c r="D65" s="95">
        <f t="shared" si="4"/>
        <v>5144381.3120115735</v>
      </c>
      <c r="E65" s="95">
        <f t="shared" si="4"/>
        <v>9843441.9318759702</v>
      </c>
      <c r="F65" s="95">
        <f t="shared" si="4"/>
        <v>6308371.1992046656</v>
      </c>
      <c r="G65" s="95">
        <f t="shared" si="4"/>
        <v>13228701.979557933</v>
      </c>
      <c r="H65" s="96">
        <f t="shared" si="4"/>
        <v>1</v>
      </c>
      <c r="I65" s="95">
        <f t="shared" si="4"/>
        <v>1123329.0465986989</v>
      </c>
      <c r="J65" s="96"/>
    </row>
    <row r="68" spans="1:10">
      <c r="A68" s="98" t="s">
        <v>82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0" ht="13.5" thickBot="1"/>
    <row r="70" spans="1:10" ht="27.75" customHeight="1" thickBot="1">
      <c r="A70" s="1"/>
      <c r="B70" s="1"/>
      <c r="C70" s="104" t="s">
        <v>47</v>
      </c>
      <c r="D70" s="105"/>
      <c r="E70" s="105"/>
      <c r="F70" s="106"/>
      <c r="G70" s="1"/>
      <c r="H70" s="1"/>
      <c r="I70" s="1"/>
      <c r="J70" s="1"/>
    </row>
    <row r="71" spans="1:10" ht="26.25" thickBot="1">
      <c r="A71" s="100" t="s">
        <v>58</v>
      </c>
      <c r="B71" s="101" t="s">
        <v>124</v>
      </c>
      <c r="C71" s="102" t="s">
        <v>77</v>
      </c>
      <c r="D71" s="102" t="s">
        <v>48</v>
      </c>
      <c r="E71" s="102" t="s">
        <v>49</v>
      </c>
      <c r="F71" s="102" t="s">
        <v>50</v>
      </c>
      <c r="G71" s="101" t="s">
        <v>51</v>
      </c>
      <c r="H71" s="101" t="s">
        <v>52</v>
      </c>
      <c r="I71" s="101" t="s">
        <v>11</v>
      </c>
      <c r="J71" s="103" t="s">
        <v>53</v>
      </c>
    </row>
    <row r="72" spans="1:10">
      <c r="A72" s="108" t="s">
        <v>46</v>
      </c>
      <c r="B72" s="86">
        <v>86023439.038944885</v>
      </c>
      <c r="C72" s="87">
        <v>33931221.644317523</v>
      </c>
      <c r="D72" s="86">
        <v>19784154.998177219</v>
      </c>
      <c r="E72" s="86">
        <v>16641121.388781387</v>
      </c>
      <c r="F72" s="86">
        <v>0</v>
      </c>
      <c r="G72" s="86">
        <v>14052743.541580243</v>
      </c>
      <c r="H72" s="88">
        <f>G72/$G$77</f>
        <v>0.12202378418556464</v>
      </c>
      <c r="I72" s="86">
        <v>1614196.5431781141</v>
      </c>
      <c r="J72" s="89">
        <f>SUM(B72:B72)/SUM(C72:G72)-1</f>
        <v>1.9123468426087697E-2</v>
      </c>
    </row>
    <row r="73" spans="1:10">
      <c r="A73" s="109" t="s">
        <v>45</v>
      </c>
      <c r="B73" s="87">
        <v>15152823.611628931</v>
      </c>
      <c r="C73" s="87">
        <v>0</v>
      </c>
      <c r="D73" s="87">
        <v>25002696.636563811</v>
      </c>
      <c r="E73" s="87">
        <v>16712885.336218428</v>
      </c>
      <c r="F73" s="87">
        <v>0</v>
      </c>
      <c r="G73" s="87">
        <v>6166103.1003067754</v>
      </c>
      <c r="H73" s="90">
        <f>G73/$G$77</f>
        <v>5.3541945866405934E-2</v>
      </c>
      <c r="I73" s="87">
        <v>1202361.1057678205</v>
      </c>
      <c r="J73" s="91">
        <f>SUM(B73:B73,C77)/SUM(C73:G73)-1</f>
        <v>2.5111066601396725E-2</v>
      </c>
    </row>
    <row r="74" spans="1:10">
      <c r="A74" s="109" t="s">
        <v>44</v>
      </c>
      <c r="B74" s="87">
        <v>18394153.890836328</v>
      </c>
      <c r="C74" s="87">
        <v>0</v>
      </c>
      <c r="D74" s="87">
        <v>0</v>
      </c>
      <c r="E74" s="87">
        <v>49967641.904338434</v>
      </c>
      <c r="F74" s="87">
        <v>4292.1857427183741</v>
      </c>
      <c r="G74" s="87">
        <v>12065487.798229381</v>
      </c>
      <c r="H74" s="90">
        <f>G74/$G$77</f>
        <v>0.10476790349360825</v>
      </c>
      <c r="I74" s="87">
        <v>1143585.4753196661</v>
      </c>
      <c r="J74" s="91">
        <f>SUM(B74:B74,D77)/SUM(C74:G74)-1</f>
        <v>1.8433771141000754E-2</v>
      </c>
    </row>
    <row r="75" spans="1:10">
      <c r="A75" s="109" t="s">
        <v>43</v>
      </c>
      <c r="B75" s="87">
        <v>5029020.5750650419</v>
      </c>
      <c r="C75" s="87">
        <v>0</v>
      </c>
      <c r="D75" s="87">
        <v>0</v>
      </c>
      <c r="E75" s="87">
        <v>0</v>
      </c>
      <c r="F75" s="87">
        <v>53049200.477063134</v>
      </c>
      <c r="G75" s="87">
        <v>32772886.830390766</v>
      </c>
      <c r="H75" s="90">
        <f>G75/$G$77</f>
        <v>0.28457586647737526</v>
      </c>
      <c r="I75" s="87">
        <v>2528581.9183718911</v>
      </c>
      <c r="J75" s="91">
        <f>SUM(B75:B75,E77)/SUM(C75:G75)-1</f>
        <v>2.9463066866351806E-2</v>
      </c>
    </row>
    <row r="76" spans="1:10" ht="13.5" thickBot="1">
      <c r="A76" s="110" t="s">
        <v>57</v>
      </c>
      <c r="B76" s="92">
        <v>1704592.7916445998</v>
      </c>
      <c r="C76" s="92">
        <v>0</v>
      </c>
      <c r="D76" s="87">
        <v>0</v>
      </c>
      <c r="E76" s="87">
        <v>0</v>
      </c>
      <c r="F76" s="87">
        <v>0</v>
      </c>
      <c r="G76" s="87">
        <v>50106749.715754673</v>
      </c>
      <c r="H76" s="93">
        <f>G76/$G$77</f>
        <v>0.43509049997704591</v>
      </c>
      <c r="I76" s="87">
        <v>4651335.7051097024</v>
      </c>
      <c r="J76" s="91">
        <f>SUM(B76:B76,F77)/SUM(C76:G76)-1</f>
        <v>9.2828526397777944E-2</v>
      </c>
    </row>
    <row r="77" spans="1:10" ht="13.5" thickBot="1">
      <c r="A77" s="94" t="s">
        <v>5</v>
      </c>
      <c r="B77" s="95">
        <f t="shared" ref="B77:I77" si="5">SUM(B72:B76)</f>
        <v>126304029.9081198</v>
      </c>
      <c r="C77" s="95">
        <f t="shared" si="5"/>
        <v>33931221.644317523</v>
      </c>
      <c r="D77" s="95">
        <f t="shared" si="5"/>
        <v>44786851.634741031</v>
      </c>
      <c r="E77" s="95">
        <f t="shared" si="5"/>
        <v>83321648.62933825</v>
      </c>
      <c r="F77" s="95">
        <f t="shared" si="5"/>
        <v>53053492.662805855</v>
      </c>
      <c r="G77" s="95">
        <f t="shared" si="5"/>
        <v>115163970.98626184</v>
      </c>
      <c r="H77" s="96">
        <f t="shared" si="5"/>
        <v>1</v>
      </c>
      <c r="I77" s="95">
        <f t="shared" si="5"/>
        <v>11140060.747747194</v>
      </c>
      <c r="J77" s="9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6:P23"/>
  <sheetViews>
    <sheetView showGridLines="0" workbookViewId="0"/>
  </sheetViews>
  <sheetFormatPr baseColWidth="10" defaultRowHeight="12.75"/>
  <cols>
    <col min="1" max="1" width="14.140625" customWidth="1"/>
    <col min="2" max="2" width="11.42578125" customWidth="1"/>
    <col min="3" max="3" width="13.42578125" customWidth="1"/>
    <col min="11" max="16" width="12.140625" bestFit="1" customWidth="1"/>
  </cols>
  <sheetData>
    <row r="6" spans="1:16" ht="33" customHeight="1">
      <c r="A6" s="437" t="s">
        <v>83</v>
      </c>
      <c r="B6" s="437"/>
      <c r="C6" s="437"/>
      <c r="D6" s="437"/>
      <c r="E6" s="437"/>
      <c r="F6" s="437"/>
      <c r="G6" s="437"/>
      <c r="H6" s="437"/>
      <c r="I6" s="437"/>
    </row>
    <row r="7" spans="1:16" ht="13.5" thickBot="1"/>
    <row r="8" spans="1:16" ht="25.5">
      <c r="A8" s="111" t="s">
        <v>60</v>
      </c>
      <c r="B8" s="118" t="s">
        <v>76</v>
      </c>
      <c r="C8" s="112" t="s">
        <v>59</v>
      </c>
      <c r="D8" s="118" t="s">
        <v>17</v>
      </c>
      <c r="E8" s="118" t="s">
        <v>18</v>
      </c>
      <c r="F8" s="118" t="s">
        <v>19</v>
      </c>
      <c r="G8" s="118" t="s">
        <v>20</v>
      </c>
      <c r="H8" s="118" t="s">
        <v>21</v>
      </c>
      <c r="I8" s="123" t="s">
        <v>22</v>
      </c>
    </row>
    <row r="9" spans="1:16" ht="19.5">
      <c r="A9" s="113" t="s">
        <v>12</v>
      </c>
      <c r="B9" s="119" t="s">
        <v>12</v>
      </c>
      <c r="C9" s="114" t="s">
        <v>61</v>
      </c>
      <c r="D9" s="124">
        <v>1</v>
      </c>
      <c r="E9" s="124">
        <v>1</v>
      </c>
      <c r="F9" s="124">
        <v>1</v>
      </c>
      <c r="G9" s="124">
        <v>1</v>
      </c>
      <c r="H9" s="129">
        <v>1</v>
      </c>
      <c r="I9" s="134">
        <v>1</v>
      </c>
      <c r="K9" s="138"/>
      <c r="L9" s="138"/>
      <c r="M9" s="138"/>
      <c r="N9" s="138"/>
      <c r="O9" s="138"/>
      <c r="P9" s="138"/>
    </row>
    <row r="10" spans="1:16" ht="19.5">
      <c r="A10" s="415" t="s">
        <v>13</v>
      </c>
      <c r="B10" s="120" t="s">
        <v>13</v>
      </c>
      <c r="C10" s="115" t="s">
        <v>62</v>
      </c>
      <c r="D10" s="125">
        <f>'I. Balances de Potencia'!$G$15/('I. Balances de Potencia'!$F$15+'I. Balances de Potencia'!$G$15)</f>
        <v>0.27584859860179578</v>
      </c>
      <c r="E10" s="125">
        <f>'I. Balances de Potencia'!$G$27/('I. Balances de Potencia'!$F$27+'I. Balances de Potencia'!$G$27)</f>
        <v>0.28927269673530498</v>
      </c>
      <c r="F10" s="125">
        <f>'I. Balances de Potencia'!$G$39/('I. Balances de Potencia'!$F$39+'I. Balances de Potencia'!$G$39)</f>
        <v>0.37097784224267949</v>
      </c>
      <c r="G10" s="125">
        <f>'I. Balances de Potencia'!$G$51/('I. Balances de Potencia'!$F$51+'I. Balances de Potencia'!$G$51)</f>
        <v>0.36420373568148506</v>
      </c>
      <c r="H10" s="130">
        <f>'I. Balances de Potencia'!$G$63/('I. Balances de Potencia'!$F$63+'I. Balances de Potencia'!$G$63)</f>
        <v>0.3662051727255905</v>
      </c>
      <c r="I10" s="135">
        <f>'I. Balances de Potencia'!$G$75/('I. Balances de Potencia'!$F$75+'I. Balances de Potencia'!$G$75)</f>
        <v>0.36482131361926085</v>
      </c>
      <c r="K10" s="138"/>
      <c r="L10" s="138"/>
      <c r="M10" s="138"/>
      <c r="N10" s="138"/>
      <c r="O10" s="138"/>
      <c r="P10" s="138"/>
    </row>
    <row r="11" spans="1:16" ht="19.5">
      <c r="A11" s="416"/>
      <c r="B11" s="121" t="s">
        <v>12</v>
      </c>
      <c r="C11" s="116" t="s">
        <v>63</v>
      </c>
      <c r="D11" s="126">
        <f>'I. Balances de Potencia'!$F$15/('I. Balances de Potencia'!$F$15+'I. Balances de Potencia'!$G$15)</f>
        <v>0.72415140139820422</v>
      </c>
      <c r="E11" s="126">
        <f>'I. Balances de Potencia'!$F$27/('I. Balances de Potencia'!$F$27+'I. Balances de Potencia'!$G$27)</f>
        <v>0.71072730326469502</v>
      </c>
      <c r="F11" s="126">
        <f>'I. Balances de Potencia'!$F$39/('I. Balances de Potencia'!$F$39+'I. Balances de Potencia'!$G$39)</f>
        <v>0.62902215775732062</v>
      </c>
      <c r="G11" s="126">
        <f>'I. Balances de Potencia'!$F$51/('I. Balances de Potencia'!$F$51+'I. Balances de Potencia'!$G$51)</f>
        <v>0.63579626431851499</v>
      </c>
      <c r="H11" s="131">
        <f>'I. Balances de Potencia'!$F$63/('I. Balances de Potencia'!$F$63+'I. Balances de Potencia'!$G$63)</f>
        <v>0.63379482727440961</v>
      </c>
      <c r="I11" s="136">
        <f>'I. Balances de Potencia'!$F$75/('I. Balances de Potencia'!$F$75+'I. Balances de Potencia'!$G$75)</f>
        <v>0.63517868638073927</v>
      </c>
      <c r="K11" s="138"/>
      <c r="L11" s="138"/>
      <c r="M11" s="138"/>
      <c r="N11" s="138"/>
      <c r="O11" s="138"/>
      <c r="P11" s="138"/>
    </row>
    <row r="12" spans="1:16" ht="18.75">
      <c r="A12" s="415" t="s">
        <v>14</v>
      </c>
      <c r="B12" s="120" t="s">
        <v>14</v>
      </c>
      <c r="C12" s="115" t="s">
        <v>64</v>
      </c>
      <c r="D12" s="125">
        <f>'I. Balances de Potencia'!$G$14/SUM('I. Balances de Potencia'!$E$14:$G$14)</f>
        <v>0.13252149575786987</v>
      </c>
      <c r="E12" s="125">
        <f>'I. Balances de Potencia'!$G$26/SUM('I. Balances de Potencia'!$E$26:$G$26)</f>
        <v>0.14418676557211985</v>
      </c>
      <c r="F12" s="125">
        <f>'I. Balances de Potencia'!$G$38/SUM('I. Balances de Potencia'!$E$38:$G$38)</f>
        <v>0.14354921735557294</v>
      </c>
      <c r="G12" s="125">
        <f>'I. Balances de Potencia'!$G$50/SUM('I. Balances de Potencia'!$E$50:$G$50)</f>
        <v>0.14614284856550822</v>
      </c>
      <c r="H12" s="130">
        <f>'I. Balances de Potencia'!$G$62/SUM('I. Balances de Potencia'!$E$62:$G$62)</f>
        <v>0.16843387179441341</v>
      </c>
      <c r="I12" s="135">
        <f>'I. Balances de Potencia'!$G$74/SUM('I. Balances de Potencia'!$E$74:$G$74)</f>
        <v>0.17451667893060357</v>
      </c>
      <c r="K12" s="138"/>
      <c r="L12" s="138"/>
      <c r="M12" s="138"/>
      <c r="N12" s="138"/>
      <c r="O12" s="138"/>
      <c r="P12" s="138"/>
    </row>
    <row r="13" spans="1:16" ht="18.75">
      <c r="A13" s="417"/>
      <c r="B13" s="120" t="s">
        <v>13</v>
      </c>
      <c r="C13" s="115" t="s">
        <v>65</v>
      </c>
      <c r="D13" s="125">
        <f>'I. Balances de Potencia'!$E$14/SUM('I. Balances de Potencia'!$E$14:$G$14)*D10</f>
        <v>0.23928151012835136</v>
      </c>
      <c r="E13" s="125">
        <f>'I. Balances de Potencia'!$E$26/SUM('I. Balances de Potencia'!$E$26:$G$26)*E10</f>
        <v>0.24754891902686993</v>
      </c>
      <c r="F13" s="125">
        <f>'I. Balances de Potencia'!$E$38/SUM('I. Balances de Potencia'!$E$38:$G$38)*F10</f>
        <v>0.31771407681916702</v>
      </c>
      <c r="G13" s="125">
        <f>'I. Balances de Potencia'!$E$50/SUM('I. Balances de Potencia'!$E$50:$G$50)*G10</f>
        <v>0.31096253614537234</v>
      </c>
      <c r="H13" s="130">
        <f>'I. Balances de Potencia'!$E$62/SUM('I. Balances de Potencia'!$E$62:$G$62)*H10</f>
        <v>0.30450853080358969</v>
      </c>
      <c r="I13" s="135">
        <f>'I. Balances de Potencia'!$E$74/SUM('I. Balances de Potencia'!$E$74:$G$74)*I10</f>
        <v>0.30113627584221775</v>
      </c>
      <c r="K13" s="138"/>
      <c r="L13" s="138"/>
      <c r="M13" s="138"/>
      <c r="N13" s="138"/>
      <c r="O13" s="138"/>
      <c r="P13" s="138"/>
    </row>
    <row r="14" spans="1:16" ht="18.75">
      <c r="A14" s="416"/>
      <c r="B14" s="121" t="s">
        <v>12</v>
      </c>
      <c r="C14" s="116" t="s">
        <v>66</v>
      </c>
      <c r="D14" s="126">
        <f>'I. Balances de Potencia'!$F$14/SUM('I. Balances de Potencia'!$E$14:$G$14)+'I. Balances de Potencia'!$E$14/SUM('I. Balances de Potencia'!$E$14:$G$14)*D11</f>
        <v>0.62819699411377894</v>
      </c>
      <c r="E14" s="126">
        <f>'I. Balances de Potencia'!$F$26/SUM('I. Balances de Potencia'!$E$26:$G$26)+'I. Balances de Potencia'!$E$26/SUM('I. Balances de Potencia'!$E$26:$G$26)*E11</f>
        <v>0.60826431540101022</v>
      </c>
      <c r="F14" s="126">
        <f>'I. Balances de Potencia'!$F$38/SUM('I. Balances de Potencia'!$E$38:$G$38)+'I. Balances de Potencia'!$E$38/SUM('I. Balances de Potencia'!$E$38:$G$38)*F11</f>
        <v>0.53873670582526012</v>
      </c>
      <c r="G14" s="126">
        <f>'I. Balances de Potencia'!$F$50/SUM('I. Balances de Potencia'!$E$50:$G$50)+'I. Balances de Potencia'!$E$50/SUM('I. Balances de Potencia'!$E$50:$G$50)*G11</f>
        <v>0.54289461528911931</v>
      </c>
      <c r="H14" s="131">
        <f>'I. Balances de Potencia'!$F$62/SUM('I. Balances de Potencia'!$E$62:$G$62)+'I. Balances de Potencia'!$E$62/SUM('I. Balances de Potencia'!$E$62:$G$62)*H11</f>
        <v>0.52705759740199698</v>
      </c>
      <c r="I14" s="136">
        <f>'I. Balances de Potencia'!$F$74/SUM('I. Balances de Potencia'!$E$74:$G$74)+'I. Balances de Potencia'!$E$74/SUM('I. Balances de Potencia'!$E$74:$G$74)*I11</f>
        <v>0.52434704522717879</v>
      </c>
      <c r="K14" s="138"/>
      <c r="L14" s="138"/>
      <c r="M14" s="138"/>
      <c r="N14" s="138"/>
      <c r="O14" s="138"/>
      <c r="P14" s="138"/>
    </row>
    <row r="15" spans="1:16" ht="18.75">
      <c r="A15" s="415" t="s">
        <v>15</v>
      </c>
      <c r="B15" s="120" t="s">
        <v>15</v>
      </c>
      <c r="C15" s="115" t="s">
        <v>67</v>
      </c>
      <c r="D15" s="125">
        <f>'I. Balances de Potencia'!$G$13/SUM('I. Balances de Potencia'!$C$13:$G$13)</f>
        <v>6.4406261106531304E-2</v>
      </c>
      <c r="E15" s="125">
        <f>'I. Balances de Potencia'!$G$25/SUM('I. Balances de Potencia'!$C$25:$G$25)</f>
        <v>7.2880390985165508E-2</v>
      </c>
      <c r="F15" s="125">
        <f>'I. Balances de Potencia'!$G$37/SUM('I. Balances de Potencia'!$C$37:$G$37)</f>
        <v>8.5491945195467101E-2</v>
      </c>
      <c r="G15" s="125">
        <f>'I. Balances de Potencia'!$G$49/SUM('I. Balances de Potencia'!$C$49:$G$49)</f>
        <v>7.8597420735807402E-2</v>
      </c>
      <c r="H15" s="130">
        <f>'I. Balances de Potencia'!$G$61/SUM('I. Balances de Potencia'!$C$61:$G$61)</f>
        <v>8.8697358584653829E-2</v>
      </c>
      <c r="I15" s="135">
        <f>'I. Balances de Potencia'!$G$73/SUM('I. Balances de Potencia'!$C$73:$G$73)</f>
        <v>8.5982239221296511E-2</v>
      </c>
      <c r="K15" s="138"/>
      <c r="L15" s="138"/>
      <c r="M15" s="138"/>
      <c r="N15" s="138"/>
      <c r="O15" s="138"/>
      <c r="P15" s="138"/>
    </row>
    <row r="16" spans="1:16" ht="18.75">
      <c r="A16" s="417"/>
      <c r="B16" s="120" t="s">
        <v>14</v>
      </c>
      <c r="C16" s="115" t="s">
        <v>68</v>
      </c>
      <c r="D16" s="125">
        <f>'I. Balances de Potencia'!$D$13/SUM('I. Balances de Potencia'!$C$13:$G$13)*$D$12</f>
        <v>7.4830138739108737E-2</v>
      </c>
      <c r="E16" s="125">
        <f>'I. Balances de Potencia'!$D$25/SUM('I. Balances de Potencia'!$C$25:$G$25)*$D$12</f>
        <v>7.3972022473946783E-2</v>
      </c>
      <c r="F16" s="125">
        <f>'I. Balances de Potencia'!$D$37/SUM('I. Balances de Potencia'!$C$37:$G$37)*$D$12</f>
        <v>7.664053325524571E-2</v>
      </c>
      <c r="G16" s="125">
        <f>'I. Balances de Potencia'!$D$49/SUM('I. Balances de Potencia'!$C$49:$G$49)*$D$12</f>
        <v>7.3209683620212157E-2</v>
      </c>
      <c r="H16" s="130">
        <f>'I. Balances de Potencia'!$D$61/SUM('I. Balances de Potencia'!$C$61:$G$61)*$D$12</f>
        <v>7.155233237598474E-2</v>
      </c>
      <c r="I16" s="135">
        <f>'I. Balances de Potencia'!$D$73/SUM('I. Balances de Potencia'!$C$73:$G$73)*$D$12</f>
        <v>7.4399295662661458E-2</v>
      </c>
      <c r="K16" s="138"/>
      <c r="L16" s="138"/>
      <c r="M16" s="138"/>
      <c r="N16" s="138"/>
      <c r="O16" s="138"/>
      <c r="P16" s="138"/>
    </row>
    <row r="17" spans="1:16" ht="18.75">
      <c r="A17" s="417"/>
      <c r="B17" s="120" t="s">
        <v>13</v>
      </c>
      <c r="C17" s="115" t="s">
        <v>69</v>
      </c>
      <c r="D17" s="125">
        <f>'I. Balances de Potencia'!$E$13/SUM('I. Balances de Potencia'!$C$13:$G$13)*$D$10+'I. Balances de Potencia'!$D$13/SUM('I. Balances de Potencia'!$C$13:$G$13)*$D$13</f>
        <v>0.23743409753305844</v>
      </c>
      <c r="E17" s="125">
        <f>'I. Balances de Potencia'!$E$25/SUM('I. Balances de Potencia'!$C$25:$G$25)*$D$10+'I. Balances de Potencia'!$D$25/SUM('I. Balances de Potencia'!$C$25:$G$25)*$D$13</f>
        <v>0.23533330350100742</v>
      </c>
      <c r="F17" s="125">
        <f>'I. Balances de Potencia'!$E$37/SUM('I. Balances de Potencia'!$C$37:$G$37)*$D$10+'I. Balances de Potencia'!$D$37/SUM('I. Balances de Potencia'!$C$37:$G$37)*$D$13</f>
        <v>0.2311180930640806</v>
      </c>
      <c r="G17" s="125">
        <f>'I. Balances de Potencia'!$E$49/SUM('I. Balances de Potencia'!$C$49:$G$49)*$D$10+'I. Balances de Potencia'!$D$49/SUM('I. Balances de Potencia'!$C$49:$G$49)*$D$13</f>
        <v>0.2339666235020052</v>
      </c>
      <c r="H17" s="130">
        <f>'I. Balances de Potencia'!$E$61/SUM('I. Balances de Potencia'!$C$61:$G$61)*$D$10+'I. Balances de Potencia'!$D$61/SUM('I. Balances de Potencia'!$C$61:$G$61)*$D$13</f>
        <v>0.23163788813383246</v>
      </c>
      <c r="I17" s="135">
        <f>'I. Balances de Potencia'!$E$73/SUM('I. Balances de Potencia'!$C$73:$G$73)*$D$10+'I. Balances de Potencia'!$D$73/SUM('I. Balances de Potencia'!$C$73:$G$73)*$D$13</f>
        <v>0.23160127814168902</v>
      </c>
      <c r="K17" s="138"/>
      <c r="L17" s="138"/>
      <c r="M17" s="138"/>
      <c r="N17" s="138"/>
      <c r="O17" s="138"/>
      <c r="P17" s="138"/>
    </row>
    <row r="18" spans="1:16" ht="18.75">
      <c r="A18" s="416"/>
      <c r="B18" s="121" t="s">
        <v>12</v>
      </c>
      <c r="C18" s="116" t="s">
        <v>70</v>
      </c>
      <c r="D18" s="126">
        <f>'I. Balances de Potencia'!$F$13/SUM('I. Balances de Potencia'!$C$13:$G$13)+'I. Balances de Potencia'!$D$13/SUM('I. Balances de Potencia'!$C$13:$G$13)*$D$14+'I. Balances de Potencia'!$E$13/SUM('I. Balances de Potencia'!$C$13:$G$13)*$D$11</f>
        <v>0.62332950262130171</v>
      </c>
      <c r="E18" s="126">
        <f>'I. Balances de Potencia'!$F$25/SUM('I. Balances de Potencia'!$C$25:$G$25)+'I. Balances de Potencia'!$D$25/SUM('I. Balances de Potencia'!$C$25:$G$25)*$D$14+'I. Balances de Potencia'!$E$25/SUM('I. Balances de Potencia'!$C$25:$G$25)*$D$11</f>
        <v>0.6178142830398804</v>
      </c>
      <c r="F18" s="126">
        <f>'I. Balances de Potencia'!$F$37/SUM('I. Balances de Potencia'!$C$37:$G$37)+'I. Balances de Potencia'!$D$37/SUM('I. Balances de Potencia'!$C$37:$G$37)*$D$14+'I. Balances de Potencia'!$E$37/SUM('I. Balances de Potencia'!$C$37:$G$37)*$D$11</f>
        <v>0.60674942848520663</v>
      </c>
      <c r="G18" s="126">
        <f>'I. Balances de Potencia'!$F$49/SUM('I. Balances de Potencia'!$C$49:$G$49)+'I. Balances de Potencia'!$D$49/SUM('I. Balances de Potencia'!$C$49:$G$49)*$D$14+'I. Balances de Potencia'!$E$49/SUM('I. Balances de Potencia'!$C$49:$G$49)*$D$11</f>
        <v>0.61422627214197512</v>
      </c>
      <c r="H18" s="131">
        <f>'I. Balances de Potencia'!$F$61/SUM('I. Balances de Potencia'!$C$61:$G$61)+'I. Balances de Potencia'!$D$61/SUM('I. Balances de Potencia'!$C$61:$G$61)*$D$14+'I. Balances de Potencia'!$E$61/SUM('I. Balances de Potencia'!$C$61:$G$61)*$D$11</f>
        <v>0.60811242090552897</v>
      </c>
      <c r="I18" s="136">
        <f>'I. Balances de Potencia'!$F$73/SUM('I. Balances de Potencia'!$C$73:$G$73)+'I. Balances de Potencia'!$D$73/SUM('I. Balances de Potencia'!$C$73:$G$73)*$D$14+'I. Balances de Potencia'!$E$73/SUM('I. Balances de Potencia'!$C$73:$G$73)*$D$11</f>
        <v>0.60801718697435292</v>
      </c>
      <c r="K18" s="138"/>
      <c r="L18" s="138"/>
      <c r="M18" s="138"/>
      <c r="N18" s="138"/>
      <c r="O18" s="138"/>
      <c r="P18" s="138"/>
    </row>
    <row r="19" spans="1:16" ht="18.75">
      <c r="A19" s="415" t="s">
        <v>16</v>
      </c>
      <c r="B19" s="120" t="s">
        <v>16</v>
      </c>
      <c r="C19" s="115" t="s">
        <v>71</v>
      </c>
      <c r="D19" s="125">
        <f>'I. Balances de Potencia'!$G$12/SUM('I. Balances de Potencia'!$C$12:$G$12)</f>
        <v>8.8651253599981369E-2</v>
      </c>
      <c r="E19" s="125">
        <f>'I. Balances de Potencia'!$G$24/SUM('I. Balances de Potencia'!$C$24:$G$24)</f>
        <v>0.11272761899237438</v>
      </c>
      <c r="F19" s="125">
        <f>'I. Balances de Potencia'!$G$36/SUM('I. Balances de Potencia'!$C$36:$G$36)</f>
        <v>7.6576102103707827E-2</v>
      </c>
      <c r="G19" s="125">
        <f>'I. Balances de Potencia'!$G$48/SUM('I. Balances de Potencia'!$C$48:$G$48)</f>
        <v>9.7934893088992739E-2</v>
      </c>
      <c r="H19" s="130">
        <f>'I. Balances de Potencia'!$G$60/SUM('I. Balances de Potencia'!$C$60:$G$60)</f>
        <v>0.13765347585943394</v>
      </c>
      <c r="I19" s="135">
        <f>'I. Balances de Potencia'!$G$72/SUM('I. Balances de Potencia'!$C$72:$G$72)</f>
        <v>0.12873773353231208</v>
      </c>
      <c r="K19" s="138"/>
      <c r="L19" s="138"/>
      <c r="M19" s="138"/>
      <c r="N19" s="138"/>
      <c r="O19" s="138"/>
      <c r="P19" s="138"/>
    </row>
    <row r="20" spans="1:16" ht="18.75">
      <c r="A20" s="417"/>
      <c r="B20" s="120" t="s">
        <v>15</v>
      </c>
      <c r="C20" s="115" t="s">
        <v>72</v>
      </c>
      <c r="D20" s="125">
        <f>'I. Balances de Potencia'!$C$12/SUM('I. Balances de Potencia'!$C$12:$G$12)*D15</f>
        <v>2.7754371875863892E-2</v>
      </c>
      <c r="E20" s="125">
        <f>'I. Balances de Potencia'!$C$24/SUM('I. Balances de Potencia'!$C$24:$G$24)*E15</f>
        <v>2.9244587097711439E-2</v>
      </c>
      <c r="F20" s="125">
        <f>'I. Balances de Potencia'!$C$36/SUM('I. Balances de Potencia'!$C$36:$G$36)*F15</f>
        <v>3.6691074886905622E-2</v>
      </c>
      <c r="G20" s="125">
        <f>'I. Balances de Potencia'!$C$48/SUM('I. Balances de Potencia'!$C$48:$G$48)*G15</f>
        <v>3.2329439654781064E-2</v>
      </c>
      <c r="H20" s="130">
        <f>'I. Balances de Potencia'!$C$60/SUM('I. Balances de Potencia'!$C$60:$G$60)*H15</f>
        <v>3.3235579019172665E-2</v>
      </c>
      <c r="I20" s="135">
        <f>'I. Balances de Potencia'!$C$72/SUM('I. Balances de Potencia'!$C$72:$G$72)*I15</f>
        <v>3.51408771461292E-2</v>
      </c>
      <c r="K20" s="138"/>
      <c r="L20" s="138"/>
      <c r="M20" s="138"/>
      <c r="N20" s="138"/>
      <c r="O20" s="138"/>
      <c r="P20" s="138"/>
    </row>
    <row r="21" spans="1:16" ht="18.75">
      <c r="A21" s="417"/>
      <c r="B21" s="120" t="s">
        <v>14</v>
      </c>
      <c r="C21" s="115" t="s">
        <v>73</v>
      </c>
      <c r="D21" s="125">
        <f>'I. Balances de Potencia'!$D$12/SUM('I. Balances de Potencia'!$C$12:$G$12)*D12+'I. Balances de Potencia'!$C$12/SUM('I. Balances de Potencia'!$C$12:$G$12)*D16</f>
        <v>6.6986300644503269E-2</v>
      </c>
      <c r="E21" s="125">
        <f>'I. Balances de Potencia'!$D$24/SUM('I. Balances de Potencia'!$C$24:$G$24)*E12+'I. Balances de Potencia'!$C$24/SUM('I. Balances de Potencia'!$C$24:$G$24)*E16</f>
        <v>6.5856531112217606E-2</v>
      </c>
      <c r="F21" s="125">
        <f>'I. Balances de Potencia'!$D$36/SUM('I. Balances de Potencia'!$C$36:$G$36)*F12+'I. Balances de Potencia'!$C$36/SUM('I. Balances de Potencia'!$C$36:$G$36)*F16</f>
        <v>7.1541387572728293E-2</v>
      </c>
      <c r="G21" s="125">
        <f>'I. Balances de Potencia'!$D$48/SUM('I. Balances de Potencia'!$C$48:$G$48)*G12+'I. Balances de Potencia'!$C$48/SUM('I. Balances de Potencia'!$C$48:$G$48)*G16</f>
        <v>6.7869441815501932E-2</v>
      </c>
      <c r="H21" s="130">
        <f>'I. Balances de Potencia'!$D$60/SUM('I. Balances de Potencia'!$C$60:$G$60)*H12+'I. Balances de Potencia'!$C$60/SUM('I. Balances de Potencia'!$C$60:$G$60)*H16</f>
        <v>7.0119233416365695E-2</v>
      </c>
      <c r="I21" s="135">
        <f>'I. Balances de Potencia'!$D$72/SUM('I. Balances de Potencia'!$C$72:$G$72)*I12+'I. Balances de Potencia'!$C$72/SUM('I. Balances de Potencia'!$C$72:$G$72)*I16</f>
        <v>7.566128093793259E-2</v>
      </c>
      <c r="K21" s="138"/>
      <c r="L21" s="138"/>
      <c r="M21" s="138"/>
      <c r="N21" s="138"/>
      <c r="O21" s="138"/>
      <c r="P21" s="138"/>
    </row>
    <row r="22" spans="1:16" ht="18.75">
      <c r="A22" s="417"/>
      <c r="B22" s="120" t="s">
        <v>13</v>
      </c>
      <c r="C22" s="115" t="s">
        <v>74</v>
      </c>
      <c r="D22" s="125">
        <f>'I. Balances de Potencia'!$C$12/SUM('I. Balances de Potencia'!$C$12:$G$12)*D17+'I. Balances de Potencia'!$D$12/SUM('I. Balances de Potencia'!$C$12:$G$12)*D13+'I. Balances de Potencia'!$E$12/SUM('I. Balances de Potencia'!$C$12:$G$12)*D10</f>
        <v>0.22525452156758519</v>
      </c>
      <c r="E22" s="125">
        <f>'I. Balances de Potencia'!$C$24/SUM('I. Balances de Potencia'!$C$24:$G$24)*E17+'I. Balances de Potencia'!$D$24/SUM('I. Balances de Potencia'!$C$24:$G$24)*E13+'I. Balances de Potencia'!$E$24/SUM('I. Balances de Potencia'!$C$24:$G$24)*E10</f>
        <v>0.22455175115995898</v>
      </c>
      <c r="F22" s="125">
        <f>'I. Balances de Potencia'!$C$36/SUM('I. Balances de Potencia'!$C$36:$G$36)*F17+'I. Balances de Potencia'!$D$36/SUM('I. Balances de Potencia'!$C$36:$G$36)*F13+'I. Balances de Potencia'!$E$36/SUM('I. Balances de Potencia'!$C$36:$G$36)*F10</f>
        <v>0.26820467242622403</v>
      </c>
      <c r="G22" s="125">
        <f>'I. Balances de Potencia'!$C$48/SUM('I. Balances de Potencia'!$C$48:$G$48)*G17+'I. Balances de Potencia'!$D$48/SUM('I. Balances de Potencia'!$C$48:$G$48)*G13+'I. Balances de Potencia'!$E$48/SUM('I. Balances de Potencia'!$C$48:$G$48)*G10</f>
        <v>0.26121020021269836</v>
      </c>
      <c r="H22" s="130">
        <f>'I. Balances de Potencia'!$C$60/SUM('I. Balances de Potencia'!$C$60:$G$60)*H17+'I. Balances de Potencia'!$D$60/SUM('I. Balances de Potencia'!$C$60:$G$60)*H13+'I. Balances de Potencia'!$E$60/SUM('I. Balances de Potencia'!$C$60:$G$60)*H10</f>
        <v>0.24950881245702553</v>
      </c>
      <c r="I22" s="135">
        <f>'I. Balances de Potencia'!$C$72/SUM('I. Balances de Potencia'!$C$72:$G$72)*I17+'I. Balances de Potencia'!$D$72/SUM('I. Balances de Potencia'!$C$72:$G$72)*I13+'I. Balances de Potencia'!$E$72/SUM('I. Balances de Potencia'!$C$72:$G$72)*I10</f>
        <v>0.24689379331662947</v>
      </c>
      <c r="K22" s="138"/>
      <c r="L22" s="138"/>
      <c r="M22" s="138"/>
      <c r="N22" s="138"/>
      <c r="O22" s="138"/>
      <c r="P22" s="138"/>
    </row>
    <row r="23" spans="1:16" ht="19.5" thickBot="1">
      <c r="A23" s="418"/>
      <c r="B23" s="122" t="s">
        <v>12</v>
      </c>
      <c r="C23" s="117" t="s">
        <v>75</v>
      </c>
      <c r="D23" s="127">
        <f>'I. Balances de Potencia'!$C$12/SUM('I. Balances de Potencia'!$C$12:$G$12)*D18+'I. Balances de Potencia'!$D$12/SUM('I. Balances de Potencia'!$C$12:$G$12)*D14+'I. Balances de Potencia'!$E$12/SUM('I. Balances de Potencia'!$C$12:$G$12)*D11+'I. Balances de Potencia'!$F$12/SUM('I. Balances de Potencia'!$C$12:$G$12)</f>
        <v>0.59135355231206654</v>
      </c>
      <c r="E23" s="127">
        <f>'I. Balances de Potencia'!$C$24/SUM('I. Balances de Potencia'!$C$24:$G$24)*E18+'I. Balances de Potencia'!$D$24/SUM('I. Balances de Potencia'!$C$24:$G$24)*E14+'I. Balances de Potencia'!$E$24/SUM('I. Balances de Potencia'!$C$24:$G$24)*E11+'I. Balances de Potencia'!$F$24/SUM('I. Balances de Potencia'!$C$24:$G$24)</f>
        <v>0.56761951163773761</v>
      </c>
      <c r="F23" s="127">
        <f>'I. Balances de Potencia'!$C$36/SUM('I. Balances de Potencia'!$C$36:$G$36)*F18+'I. Balances de Potencia'!$D$36/SUM('I. Balances de Potencia'!$C$36:$G$36)*F14+'I. Balances de Potencia'!$E$36/SUM('I. Balances de Potencia'!$C$36:$G$36)*F11+'I. Balances de Potencia'!$F$36/SUM('I. Balances de Potencia'!$C$36:$G$36)</f>
        <v>0.54698676301043425</v>
      </c>
      <c r="G23" s="127">
        <f>'I. Balances de Potencia'!$C$48/SUM('I. Balances de Potencia'!$C$48:$G$48)*G18+'I. Balances de Potencia'!$D$48/SUM('I. Balances de Potencia'!$C$48:$G$48)*G14+'I. Balances de Potencia'!$E$48/SUM('I. Balances de Potencia'!$C$48:$G$48)*G11+'I. Balances de Potencia'!$F$48/SUM('I. Balances de Potencia'!$C$48:$G$48)</f>
        <v>0.54065602522802592</v>
      </c>
      <c r="H23" s="132">
        <f>'I. Balances de Potencia'!$C$60/SUM('I. Balances de Potencia'!$C$60:$G$60)*H18+'I. Balances de Potencia'!$D$60/SUM('I. Balances de Potencia'!$C$60:$G$60)*H14+'I. Balances de Potencia'!$E$60/SUM('I. Balances de Potencia'!$C$60:$G$60)*H11+'I. Balances de Potencia'!$F$60/SUM('I. Balances de Potencia'!$C$60:$G$60)</f>
        <v>0.50948289924800239</v>
      </c>
      <c r="I23" s="137">
        <f>'I. Balances de Potencia'!$C$72/SUM('I. Balances de Potencia'!$C$72:$G$72)*I18+'I. Balances de Potencia'!$D$72/SUM('I. Balances de Potencia'!$C$72:$G$72)*I14+'I. Balances de Potencia'!$E$72/SUM('I. Balances de Potencia'!$C$72:$G$72)*I11+'I. Balances de Potencia'!$F$72/SUM('I. Balances de Potencia'!$C$72:$G$72)</f>
        <v>0.51356631506699646</v>
      </c>
      <c r="K23" s="138"/>
      <c r="L23" s="138"/>
      <c r="M23" s="138"/>
      <c r="N23" s="138"/>
      <c r="O23" s="138"/>
      <c r="P23" s="138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6:P25"/>
  <sheetViews>
    <sheetView showGridLines="0" workbookViewId="0"/>
  </sheetViews>
  <sheetFormatPr baseColWidth="10" defaultRowHeight="12.75"/>
  <cols>
    <col min="1" max="1" width="14.140625" customWidth="1"/>
    <col min="2" max="2" width="11.42578125" customWidth="1"/>
    <col min="3" max="3" width="13.42578125" customWidth="1"/>
  </cols>
  <sheetData>
    <row r="6" spans="1:16" ht="33" customHeight="1">
      <c r="A6" s="437" t="s">
        <v>91</v>
      </c>
      <c r="B6" s="437"/>
      <c r="C6" s="437"/>
      <c r="D6" s="437"/>
      <c r="E6" s="437"/>
      <c r="F6" s="437"/>
      <c r="G6" s="437"/>
      <c r="H6" s="437"/>
      <c r="I6" s="437"/>
    </row>
    <row r="7" spans="1:16" ht="13.5" thickBot="1"/>
    <row r="8" spans="1:16" ht="25.5">
      <c r="A8" s="111" t="s">
        <v>60</v>
      </c>
      <c r="B8" s="118" t="s">
        <v>76</v>
      </c>
      <c r="C8" s="112" t="s">
        <v>59</v>
      </c>
      <c r="D8" s="118" t="s">
        <v>17</v>
      </c>
      <c r="E8" s="118" t="s">
        <v>18</v>
      </c>
      <c r="F8" s="118" t="s">
        <v>19</v>
      </c>
      <c r="G8" s="118" t="s">
        <v>20</v>
      </c>
      <c r="H8" s="118" t="s">
        <v>21</v>
      </c>
      <c r="I8" s="123" t="s">
        <v>22</v>
      </c>
    </row>
    <row r="9" spans="1:16" ht="19.5">
      <c r="A9" s="113" t="s">
        <v>12</v>
      </c>
      <c r="B9" s="119" t="s">
        <v>12</v>
      </c>
      <c r="C9" s="114" t="s">
        <v>61</v>
      </c>
      <c r="D9" s="124">
        <v>1</v>
      </c>
      <c r="E9" s="124">
        <v>1</v>
      </c>
      <c r="F9" s="124">
        <v>1</v>
      </c>
      <c r="G9" s="124">
        <v>1</v>
      </c>
      <c r="H9" s="129">
        <v>1</v>
      </c>
      <c r="I9" s="134">
        <v>1</v>
      </c>
      <c r="K9" s="128"/>
      <c r="L9" s="128"/>
      <c r="M9" s="128"/>
      <c r="N9" s="128"/>
      <c r="O9" s="128"/>
      <c r="P9" s="128"/>
    </row>
    <row r="10" spans="1:16" ht="19.5">
      <c r="A10" s="415" t="s">
        <v>13</v>
      </c>
      <c r="B10" s="120" t="s">
        <v>13</v>
      </c>
      <c r="C10" s="115" t="s">
        <v>62</v>
      </c>
      <c r="D10" s="125">
        <f>'I. Balances de energía'!$G$15/('I. Balances de energía'!$F$15+'I. Balances de energía'!$G$15)</f>
        <v>0.35874372597645576</v>
      </c>
      <c r="E10" s="125">
        <f>'I. Balances de energía'!$G$27/('I. Balances de energía'!$F$27+'I. Balances de energía'!$G$27)</f>
        <v>0.36208771949123314</v>
      </c>
      <c r="F10" s="125">
        <f>'I. Balances de energía'!$G$39/('I. Balances de energía'!$F$39+'I. Balances de energía'!$G$39)</f>
        <v>0.37212323006278702</v>
      </c>
      <c r="G10" s="125">
        <f>'I. Balances de energía'!$G$51/('I. Balances de energía'!$F$51+'I. Balances de energía'!$G$51)</f>
        <v>0.38380674850819213</v>
      </c>
      <c r="H10" s="130">
        <f>'I. Balances de energía'!$G$63/('I. Balances de energía'!$F$63+'I. Balances de energía'!$G$63)</f>
        <v>0.3916186526839136</v>
      </c>
      <c r="I10" s="135">
        <f>'I. Balances de energía'!$G$75/('I. Balances de energía'!$F$75+'I. Balances de energía'!$G$75)</f>
        <v>0.38187007399369494</v>
      </c>
      <c r="K10" s="128"/>
      <c r="L10" s="128"/>
      <c r="M10" s="128"/>
      <c r="N10" s="128"/>
      <c r="O10" s="128"/>
      <c r="P10" s="128"/>
    </row>
    <row r="11" spans="1:16" ht="19.5">
      <c r="A11" s="416"/>
      <c r="B11" s="121" t="s">
        <v>12</v>
      </c>
      <c r="C11" s="116" t="s">
        <v>63</v>
      </c>
      <c r="D11" s="126">
        <f>'I. Balances de energía'!$F$15/('I. Balances de energía'!$F$15+'I. Balances de energía'!$G$15)</f>
        <v>0.64125627402354435</v>
      </c>
      <c r="E11" s="126">
        <f>'I. Balances de energía'!$F$27/('I. Balances de energía'!$F$27+'I. Balances de energía'!$G$27)</f>
        <v>0.63791228050876692</v>
      </c>
      <c r="F11" s="126">
        <f>'I. Balances de energía'!$F$39/('I. Balances de energía'!$F$39+'I. Balances de energía'!$G$39)</f>
        <v>0.62787676993721298</v>
      </c>
      <c r="G11" s="126">
        <f>'I. Balances de energía'!$F$51/('I. Balances de energía'!$F$51+'I. Balances de energía'!$G$51)</f>
        <v>0.61619325149180781</v>
      </c>
      <c r="H11" s="131">
        <f>'I. Balances de energía'!$F$63/('I. Balances de energía'!$F$63+'I. Balances de energía'!$G$63)</f>
        <v>0.6083813473160864</v>
      </c>
      <c r="I11" s="136">
        <f>'I. Balances de energía'!$F$75/('I. Balances de energía'!$F$75+'I. Balances de energía'!$G$75)</f>
        <v>0.61812992600630512</v>
      </c>
      <c r="K11" s="128"/>
      <c r="L11" s="128"/>
      <c r="M11" s="128"/>
      <c r="N11" s="128"/>
      <c r="O11" s="128"/>
      <c r="P11" s="128"/>
    </row>
    <row r="12" spans="1:16" ht="18.75">
      <c r="A12" s="415" t="s">
        <v>14</v>
      </c>
      <c r="B12" s="120" t="s">
        <v>14</v>
      </c>
      <c r="C12" s="115" t="s">
        <v>64</v>
      </c>
      <c r="D12" s="125">
        <f>'I. Balances de energía'!$G$14/SUM('I. Balances de energía'!$E$14:$G$14)</f>
        <v>0.16271796130094249</v>
      </c>
      <c r="E12" s="125">
        <f>'I. Balances de energía'!$G$26/SUM('I. Balances de energía'!$E$26:$G$26)</f>
        <v>0.16840417482150577</v>
      </c>
      <c r="F12" s="125">
        <f>'I. Balances de energía'!$G$38/SUM('I. Balances de energía'!$E$38:$G$38)</f>
        <v>0.1769642367215632</v>
      </c>
      <c r="G12" s="125">
        <f>'I. Balances de energía'!$G$50/SUM('I. Balances de energía'!$E$50:$G$50)</f>
        <v>0.18383425181046098</v>
      </c>
      <c r="H12" s="130">
        <f>'I. Balances de energía'!$G$62/SUM('I. Balances de energía'!$E$62:$G$62)</f>
        <v>0.18743199316373602</v>
      </c>
      <c r="I12" s="135">
        <f>'I. Balances de energía'!$G$74/SUM('I. Balances de energía'!$E$74:$G$74)</f>
        <v>0.19448725351533078</v>
      </c>
      <c r="K12" s="128"/>
      <c r="L12" s="128"/>
      <c r="M12" s="128"/>
      <c r="N12" s="128"/>
      <c r="O12" s="128"/>
      <c r="P12" s="128"/>
    </row>
    <row r="13" spans="1:16" ht="18.75">
      <c r="A13" s="417"/>
      <c r="B13" s="120" t="s">
        <v>13</v>
      </c>
      <c r="C13" s="115" t="s">
        <v>65</v>
      </c>
      <c r="D13" s="125">
        <f>'I. Balances de energía'!$E$14/SUM('I. Balances de energía'!$E$14:$G$14)*D10</f>
        <v>0.30035431181599193</v>
      </c>
      <c r="E13" s="125">
        <f>'I. Balances de energía'!$E$26/SUM('I. Balances de energía'!$E$26:$G$26)*E10</f>
        <v>0.30109198901584411</v>
      </c>
      <c r="F13" s="125">
        <f>'I. Balances de energía'!$E$38/SUM('I. Balances de energía'!$E$38:$G$38)*F10</f>
        <v>0.30625226982333814</v>
      </c>
      <c r="G13" s="125">
        <f>'I. Balances de energía'!$E$50/SUM('I. Balances de energía'!$E$50:$G$50)*G10</f>
        <v>0.31323091923070706</v>
      </c>
      <c r="H13" s="130">
        <f>'I. Balances de energía'!$E$62/SUM('I. Balances de energía'!$E$62:$G$62)*H10</f>
        <v>0.31819721772335652</v>
      </c>
      <c r="I13" s="135">
        <f>'I. Balances de energía'!$E$74/SUM('I. Balances de energía'!$E$74:$G$74)*I10</f>
        <v>0.30757479164193885</v>
      </c>
      <c r="K13" s="128"/>
      <c r="L13" s="128"/>
      <c r="M13" s="128"/>
      <c r="N13" s="128"/>
      <c r="O13" s="128"/>
      <c r="P13" s="128"/>
    </row>
    <row r="14" spans="1:16" ht="18.75">
      <c r="A14" s="416"/>
      <c r="B14" s="121" t="s">
        <v>12</v>
      </c>
      <c r="C14" s="116" t="s">
        <v>66</v>
      </c>
      <c r="D14" s="126">
        <f>'I. Balances de energía'!$F$14/SUM('I. Balances de energía'!$E$14:$G$14)+'I. Balances de energía'!$E$14/SUM('I. Balances de energía'!$E$14:$G$14)*D11</f>
        <v>0.53692772688306567</v>
      </c>
      <c r="E14" s="126">
        <f>'I. Balances de energía'!$F$26/SUM('I. Balances de energía'!$E$26:$G$26)+'I. Balances de energía'!$E$26/SUM('I. Balances de energía'!$E$26:$G$26)*E11</f>
        <v>0.53050383616265018</v>
      </c>
      <c r="F14" s="126">
        <f>'I. Balances de energía'!$F$38/SUM('I. Balances de energía'!$E$38:$G$38)+'I. Balances de energía'!$E$38/SUM('I. Balances de energía'!$E$38:$G$38)*F11</f>
        <v>0.51678349345509877</v>
      </c>
      <c r="G14" s="126">
        <f>'I. Balances de energía'!$F$50/SUM('I. Balances de energía'!$E$50:$G$50)+'I. Balances de energía'!$E$50/SUM('I. Balances de energía'!$E$50:$G$50)*G11</f>
        <v>0.50293482895883179</v>
      </c>
      <c r="H14" s="131">
        <f>'I. Balances de energía'!$F$62/SUM('I. Balances de energía'!$E$62:$G$62)+'I. Balances de energía'!$E$62/SUM('I. Balances de energía'!$E$62:$G$62)*H11</f>
        <v>0.49437078911290755</v>
      </c>
      <c r="I14" s="136">
        <f>'I. Balances de energía'!$F$74/SUM('I. Balances de energía'!$E$74:$G$74)+'I. Balances de energía'!$E$74/SUM('I. Balances de energía'!$E$74:$G$74)*I11</f>
        <v>0.4979379548427304</v>
      </c>
      <c r="K14" s="128"/>
      <c r="L14" s="128"/>
      <c r="M14" s="128"/>
      <c r="N14" s="128"/>
      <c r="O14" s="128"/>
      <c r="P14" s="128"/>
    </row>
    <row r="15" spans="1:16" ht="18.75">
      <c r="A15" s="415" t="s">
        <v>15</v>
      </c>
      <c r="B15" s="120" t="s">
        <v>15</v>
      </c>
      <c r="C15" s="115" t="s">
        <v>67</v>
      </c>
      <c r="D15" s="125">
        <f>'I. Balances de energía'!$G$13/SUM('I. Balances de energía'!$C$13:$G$13)</f>
        <v>8.0233094201883001E-2</v>
      </c>
      <c r="E15" s="125">
        <f>'I. Balances de energía'!$G$25/SUM('I. Balances de energía'!$C$25:$G$25)</f>
        <v>8.5923044477481197E-2</v>
      </c>
      <c r="F15" s="125">
        <f>'I. Balances de energía'!$G$37/SUM('I. Balances de energía'!$C$37:$G$37)</f>
        <v>9.4538352625348307E-2</v>
      </c>
      <c r="G15" s="125">
        <f>'I. Balances de energía'!$G$49/SUM('I. Balances de energía'!$C$49:$G$49)</f>
        <v>9.8933337044303626E-2</v>
      </c>
      <c r="H15" s="130">
        <f>'I. Balances de energía'!$G$61/SUM('I. Balances de energía'!$C$61:$G$61)</f>
        <v>9.9710000825639855E-2</v>
      </c>
      <c r="I15" s="135">
        <f>'I. Balances de energía'!$G$73/SUM('I. Balances de energía'!$C$73:$G$73)</f>
        <v>0.12877790518221163</v>
      </c>
      <c r="K15" s="128"/>
      <c r="L15" s="128"/>
      <c r="M15" s="128"/>
      <c r="N15" s="128"/>
      <c r="O15" s="128"/>
      <c r="P15" s="128"/>
    </row>
    <row r="16" spans="1:16" ht="18.75">
      <c r="A16" s="417"/>
      <c r="B16" s="120" t="s">
        <v>14</v>
      </c>
      <c r="C16" s="115" t="s">
        <v>68</v>
      </c>
      <c r="D16" s="125">
        <f>'I. Balances de energía'!$D$13/SUM('I. Balances de energía'!$C$13:$G$13)*$D$12</f>
        <v>8.8738330387242242E-2</v>
      </c>
      <c r="E16" s="125">
        <f>'I. Balances de energía'!$D$25/SUM('I. Balances de energía'!$C$25:$G$25)*$D$12</f>
        <v>8.9146904030238325E-2</v>
      </c>
      <c r="F16" s="125">
        <f>'I. Balances de energía'!$D$37/SUM('I. Balances de energía'!$C$37:$G$37)*$D$12</f>
        <v>8.7915727674951122E-2</v>
      </c>
      <c r="G16" s="125">
        <f>'I. Balances de energía'!$D$49/SUM('I. Balances de energía'!$C$49:$G$49)*$D$12</f>
        <v>8.7524530558108035E-2</v>
      </c>
      <c r="H16" s="130">
        <f>'I. Balances de energía'!$D$61/SUM('I. Balances de energía'!$C$61:$G$61)*$D$12</f>
        <v>8.7091788340236675E-2</v>
      </c>
      <c r="I16" s="135">
        <f>'I. Balances de energía'!$D$73/SUM('I. Balances de energía'!$C$73:$G$73)*$D$12</f>
        <v>8.4967515606800451E-2</v>
      </c>
      <c r="K16" s="128"/>
      <c r="L16" s="128"/>
      <c r="M16" s="128"/>
      <c r="N16" s="128"/>
      <c r="O16" s="128"/>
      <c r="P16" s="128"/>
    </row>
    <row r="17" spans="1:16" ht="18.75">
      <c r="A17" s="417"/>
      <c r="B17" s="120" t="s">
        <v>13</v>
      </c>
      <c r="C17" s="115" t="s">
        <v>69</v>
      </c>
      <c r="D17" s="125">
        <f>'I. Balances de energía'!$E$13/SUM('I. Balances de energía'!$C$13:$G$13)*$D$10+'I. Balances de energía'!$D$13/SUM('I. Balances de energía'!$C$13:$G$13)*$D$13</f>
        <v>0.29811790743919314</v>
      </c>
      <c r="E17" s="125">
        <f>'I. Balances de energía'!$E$25/SUM('I. Balances de energía'!$C$25:$G$25)*$D$10+'I. Balances de energía'!$D$25/SUM('I. Balances de energía'!$C$25:$G$25)*$D$13</f>
        <v>0.29593006166160279</v>
      </c>
      <c r="F17" s="125">
        <f>'I. Balances de energía'!$E$37/SUM('I. Balances de energía'!$C$37:$G$37)*$D$10+'I. Balances de energía'!$D$37/SUM('I. Balances de energía'!$C$37:$G$37)*$D$13</f>
        <v>0.2932811669766523</v>
      </c>
      <c r="G17" s="125">
        <f>'I. Balances de energía'!$E$49/SUM('I. Balances de energía'!$C$49:$G$49)*$D$10+'I. Balances de energía'!$D$49/SUM('I. Balances de energía'!$C$49:$G$49)*$D$13</f>
        <v>0.2918448703449823</v>
      </c>
      <c r="H17" s="130">
        <f>'I. Balances de energía'!$E$61/SUM('I. Balances de energía'!$C$61:$G$61)*$D$10+'I. Balances de energía'!$D$61/SUM('I. Balances de energía'!$C$61:$G$61)*$D$13</f>
        <v>0.29172153150832314</v>
      </c>
      <c r="I17" s="135">
        <f>'I. Balances de energía'!$E$73/SUM('I. Balances de energía'!$C$73:$G$73)*$D$10+'I. Balances de energía'!$D$73/SUM('I. Balances de energía'!$C$73:$G$73)*$D$13</f>
        <v>0.28205587331640947</v>
      </c>
      <c r="K17" s="128"/>
      <c r="L17" s="128"/>
      <c r="M17" s="128"/>
      <c r="N17" s="128"/>
      <c r="O17" s="128"/>
      <c r="P17" s="128"/>
    </row>
    <row r="18" spans="1:16" ht="18.75">
      <c r="A18" s="416"/>
      <c r="B18" s="121" t="s">
        <v>12</v>
      </c>
      <c r="C18" s="116" t="s">
        <v>70</v>
      </c>
      <c r="D18" s="126">
        <f>'I. Balances de energía'!$F$13/SUM('I. Balances de energía'!$C$13:$G$13)+'I. Balances de energía'!$D$13/SUM('I. Balances de energía'!$C$13:$G$13)*$D$14+'I. Balances de energía'!$E$13/SUM('I. Balances de energía'!$C$13:$G$13)*$D$11</f>
        <v>0.53291066797168152</v>
      </c>
      <c r="E18" s="126">
        <f>'I. Balances de energía'!$F$25/SUM('I. Balances de energía'!$C$25:$G$25)+'I. Balances de energía'!$D$25/SUM('I. Balances de energía'!$C$25:$G$25)*$D$14+'I. Balances de energía'!$E$25/SUM('I. Balances de energía'!$C$25:$G$25)*$D$11</f>
        <v>0.52899998983067764</v>
      </c>
      <c r="F18" s="126">
        <f>'I. Balances de energía'!$F$37/SUM('I. Balances de energía'!$C$37:$G$37)+'I. Balances de energía'!$D$37/SUM('I. Balances de energía'!$C$37:$G$37)*$D$14+'I. Balances de energía'!$E$37/SUM('I. Balances de energía'!$C$37:$G$37)*$D$11</f>
        <v>0.52426475272304829</v>
      </c>
      <c r="G18" s="126">
        <f>'I. Balances de energía'!$F$49/SUM('I. Balances de energía'!$C$49:$G$49)+'I. Balances de energía'!$D$49/SUM('I. Balances de energía'!$C$49:$G$49)*$D$14+'I. Balances de energía'!$E$49/SUM('I. Balances de energía'!$C$49:$G$49)*$D$11</f>
        <v>0.52169726205260614</v>
      </c>
      <c r="H18" s="131">
        <f>'I. Balances de energía'!$F$61/SUM('I. Balances de energía'!$C$61:$G$61)+'I. Balances de energía'!$D$61/SUM('I. Balances de energía'!$C$61:$G$61)*$D$14+'I. Balances de energía'!$E$61/SUM('I. Balances de energía'!$C$61:$G$61)*$D$11</f>
        <v>0.52147667932580044</v>
      </c>
      <c r="I18" s="136">
        <f>'I. Balances de energía'!$F$73/SUM('I. Balances de energía'!$C$73:$G$73)+'I. Balances de energía'!$D$73/SUM('I. Balances de energía'!$C$73:$G$73)*$D$14+'I. Balances de energía'!$E$73/SUM('I. Balances de energía'!$C$73:$G$73)*$D$11</f>
        <v>0.50419870589457849</v>
      </c>
      <c r="K18" s="128"/>
      <c r="L18" s="128"/>
      <c r="M18" s="128"/>
      <c r="N18" s="128"/>
      <c r="O18" s="128"/>
      <c r="P18" s="128"/>
    </row>
    <row r="19" spans="1:16" ht="18.75">
      <c r="A19" s="415" t="s">
        <v>16</v>
      </c>
      <c r="B19" s="120" t="s">
        <v>16</v>
      </c>
      <c r="C19" s="115" t="s">
        <v>71</v>
      </c>
      <c r="D19" s="125">
        <f>'I. Balances de energía'!$G$12/SUM('I. Balances de energía'!$C$12:$G$12)</f>
        <v>0.10700695290755527</v>
      </c>
      <c r="E19" s="125">
        <f>'I. Balances de energía'!$G$24/SUM('I. Balances de energía'!$C$24:$G$24)</f>
        <v>0.11720408285006341</v>
      </c>
      <c r="F19" s="125">
        <f>'I. Balances de energía'!$G$36/SUM('I. Balances de energía'!$C$36:$G$36)</f>
        <v>0.13428589646808162</v>
      </c>
      <c r="G19" s="125">
        <f>'I. Balances de energía'!$G$48/SUM('I. Balances de energía'!$C$48:$G$48)</f>
        <v>0.14143891150682122</v>
      </c>
      <c r="H19" s="130">
        <f>'I. Balances de energía'!$G$60/SUM('I. Balances de energía'!$C$60:$G$60)</f>
        <v>0.1433755456289825</v>
      </c>
      <c r="I19" s="135">
        <f>'I. Balances de energía'!$G$72/SUM('I. Balances de energía'!$C$72:$G$72)</f>
        <v>0.16648347123757606</v>
      </c>
      <c r="K19" s="128"/>
      <c r="L19" s="128"/>
      <c r="M19" s="128"/>
      <c r="N19" s="128"/>
      <c r="O19" s="128"/>
      <c r="P19" s="128"/>
    </row>
    <row r="20" spans="1:16" ht="18.75">
      <c r="A20" s="417"/>
      <c r="B20" s="120" t="s">
        <v>15</v>
      </c>
      <c r="C20" s="115" t="s">
        <v>72</v>
      </c>
      <c r="D20" s="125">
        <f>'I. Balances de energía'!$C$12/SUM('I. Balances de energía'!$C$12:$G$12)*D15</f>
        <v>3.3009612286175882E-2</v>
      </c>
      <c r="E20" s="125">
        <f>'I. Balances de energía'!$C$24/SUM('I. Balances de energía'!$C$24:$G$24)*E15</f>
        <v>3.512170422598293E-2</v>
      </c>
      <c r="F20" s="125">
        <f>'I. Balances de energía'!$C$36/SUM('I. Balances de energía'!$C$36:$G$36)*F15</f>
        <v>3.7960203867805901E-2</v>
      </c>
      <c r="G20" s="125">
        <f>'I. Balances de energía'!$C$48/SUM('I. Balances de energía'!$C$48:$G$48)*G15</f>
        <v>3.9393569236329092E-2</v>
      </c>
      <c r="H20" s="130">
        <f>'I. Balances de energía'!$C$60/SUM('I. Balances de energía'!$C$60:$G$60)*H15</f>
        <v>3.9503068588768828E-2</v>
      </c>
      <c r="I20" s="135">
        <f>'I. Balances de energía'!$C$72/SUM('I. Balances de energía'!$C$72:$G$72)*I15</f>
        <v>5.1766744519994197E-2</v>
      </c>
      <c r="K20" s="128"/>
      <c r="L20" s="128"/>
      <c r="M20" s="128"/>
      <c r="N20" s="128"/>
      <c r="O20" s="128"/>
      <c r="P20" s="128"/>
    </row>
    <row r="21" spans="1:16" ht="18.75">
      <c r="A21" s="417"/>
      <c r="B21" s="120" t="s">
        <v>14</v>
      </c>
      <c r="C21" s="115" t="s">
        <v>73</v>
      </c>
      <c r="D21" s="125">
        <f>'I. Balances de energía'!$D$12/SUM('I. Balances de energía'!$C$12:$G$12)*D12+'I. Balances de energía'!$C$12/SUM('I. Balances de energía'!$C$12:$G$12)*D16</f>
        <v>7.7921360063677364E-2</v>
      </c>
      <c r="E21" s="125">
        <f>'I. Balances de energía'!$D$24/SUM('I. Balances de energía'!$C$24:$G$24)*E12+'I. Balances de energía'!$C$24/SUM('I. Balances de energía'!$C$24:$G$24)*E16</f>
        <v>7.8644353853282722E-2</v>
      </c>
      <c r="F21" s="125">
        <f>'I. Balances de energía'!$D$36/SUM('I. Balances de energía'!$C$36:$G$36)*F12+'I. Balances de energía'!$C$36/SUM('I. Balances de energía'!$C$36:$G$36)*F16</f>
        <v>7.8384718773718165E-2</v>
      </c>
      <c r="G21" s="125">
        <f>'I. Balances de energía'!$D$48/SUM('I. Balances de energía'!$C$48:$G$48)*G12+'I. Balances de energía'!$C$48/SUM('I. Balances de energía'!$C$48:$G$48)*G16</f>
        <v>7.9165197350233779E-2</v>
      </c>
      <c r="H21" s="130">
        <f>'I. Balances de energía'!$D$60/SUM('I. Balances de energía'!$C$60:$G$60)*H12+'I. Balances de energía'!$C$60/SUM('I. Balances de energía'!$C$60:$G$60)*H16</f>
        <v>7.9613514325160922E-2</v>
      </c>
      <c r="I21" s="135">
        <f>'I. Balances de energía'!$D$72/SUM('I. Balances de energía'!$C$72:$G$72)*I12+'I. Balances de energía'!$C$72/SUM('I. Balances de energía'!$C$72:$G$72)*I16</f>
        <v>7.974029203341268E-2</v>
      </c>
      <c r="K21" s="128"/>
      <c r="L21" s="128"/>
      <c r="M21" s="128"/>
      <c r="N21" s="128"/>
      <c r="O21" s="128"/>
      <c r="P21" s="128"/>
    </row>
    <row r="22" spans="1:16" ht="18.75">
      <c r="A22" s="417"/>
      <c r="B22" s="120" t="s">
        <v>13</v>
      </c>
      <c r="C22" s="115" t="s">
        <v>74</v>
      </c>
      <c r="D22" s="125">
        <f>'I. Balances de energía'!$C$12/SUM('I. Balances de energía'!$C$12:$G$12)*D17+'I. Balances de energía'!$D$12/SUM('I. Balances de energía'!$C$12:$G$12)*D13+'I. Balances de energía'!$E$12/SUM('I. Balances de energía'!$C$12:$G$12)*D10</f>
        <v>0.28055250405327797</v>
      </c>
      <c r="E22" s="125">
        <f>'I. Balances de energía'!$C$24/SUM('I. Balances de energía'!$C$24:$G$24)*E17+'I. Balances de energía'!$D$24/SUM('I. Balances de energía'!$C$24:$G$24)*E13+'I. Balances de energía'!$E$24/SUM('I. Balances de energía'!$C$24:$G$24)*E10</f>
        <v>0.27732057059302528</v>
      </c>
      <c r="F22" s="125">
        <f>'I. Balances de energía'!$C$36/SUM('I. Balances de energía'!$C$36:$G$36)*F17+'I. Balances de energía'!$D$36/SUM('I. Balances de energía'!$C$36:$G$36)*F13+'I. Balances de energía'!$E$36/SUM('I. Balances de energía'!$C$36:$G$36)*F10</f>
        <v>0.27445774827336156</v>
      </c>
      <c r="G22" s="125">
        <f>'I. Balances de energía'!$C$48/SUM('I. Balances de energía'!$C$48:$G$48)*G17+'I. Balances de energía'!$D$48/SUM('I. Balances de energía'!$C$48:$G$48)*G13+'I. Balances de energía'!$E$48/SUM('I. Balances de energía'!$C$48:$G$48)*G10</f>
        <v>0.27589113229553869</v>
      </c>
      <c r="H22" s="130">
        <f>'I. Balances de energía'!$C$60/SUM('I. Balances de energía'!$C$60:$G$60)*H17+'I. Balances de energía'!$D$60/SUM('I. Balances de energía'!$C$60:$G$60)*H13+'I. Balances de energía'!$E$60/SUM('I. Balances de energía'!$C$60:$G$60)*H10</f>
        <v>0.27822247173050896</v>
      </c>
      <c r="I22" s="135">
        <f>'I. Balances de energía'!$C$72/SUM('I. Balances de energía'!$C$72:$G$72)*I17+'I. Balances de energía'!$D$72/SUM('I. Balances de energía'!$C$72:$G$72)*I13+'I. Balances de energía'!$E$72/SUM('I. Balances de energía'!$C$72:$G$72)*I10</f>
        <v>0.26075763211343356</v>
      </c>
      <c r="K22" s="128"/>
      <c r="L22" s="128"/>
      <c r="M22" s="128"/>
      <c r="N22" s="128"/>
      <c r="O22" s="128"/>
      <c r="P22" s="128"/>
    </row>
    <row r="23" spans="1:16" ht="19.5" thickBot="1">
      <c r="A23" s="418"/>
      <c r="B23" s="122" t="s">
        <v>12</v>
      </c>
      <c r="C23" s="117" t="s">
        <v>75</v>
      </c>
      <c r="D23" s="127">
        <f>'I. Balances de energía'!$C$12/SUM('I. Balances de energía'!$C$12:$G$12)*D18+'I. Balances de energía'!$D$12/SUM('I. Balances de energía'!$C$12:$G$12)*D14+'I. Balances de energía'!$E$12/SUM('I. Balances de energía'!$C$12:$G$12)*D11+'I. Balances de energía'!$F$12/SUM('I. Balances de energía'!$C$12:$G$12)</f>
        <v>0.50150957068931346</v>
      </c>
      <c r="E23" s="127">
        <f>'I. Balances de energía'!$C$24/SUM('I. Balances de energía'!$C$24:$G$24)*E18+'I. Balances de energía'!$D$24/SUM('I. Balances de energía'!$C$24:$G$24)*E14+'I. Balances de energía'!$E$24/SUM('I. Balances de energía'!$C$24:$G$24)*E11+'I. Balances de energía'!$F$24/SUM('I. Balances de energía'!$C$24:$G$24)</f>
        <v>0.49170928847764567</v>
      </c>
      <c r="F23" s="127">
        <f>'I. Balances de energía'!$C$36/SUM('I. Balances de energía'!$C$36:$G$36)*F18+'I. Balances de energía'!$D$36/SUM('I. Balances de energía'!$C$36:$G$36)*F14+'I. Balances de energía'!$E$36/SUM('I. Balances de energía'!$C$36:$G$36)*F11+'I. Balances de energía'!$F$36/SUM('I. Balances de energía'!$C$36:$G$36)</f>
        <v>0.47491143261703278</v>
      </c>
      <c r="G23" s="127">
        <f>'I. Balances de energía'!$C$48/SUM('I. Balances de energía'!$C$48:$G$48)*G18+'I. Balances de energía'!$D$48/SUM('I. Balances de energía'!$C$48:$G$48)*G14+'I. Balances de energía'!$E$48/SUM('I. Balances de energía'!$C$48:$G$48)*G11+'I. Balances de energía'!$F$48/SUM('I. Balances de energía'!$C$48:$G$48)</f>
        <v>0.46411118961107722</v>
      </c>
      <c r="H23" s="132">
        <f>'I. Balances de energía'!$C$60/SUM('I. Balances de energía'!$C$60:$G$60)*H18+'I. Balances de energía'!$D$60/SUM('I. Balances de energía'!$C$60:$G$60)*H14+'I. Balances de energía'!$E$60/SUM('I. Balances de energía'!$C$60:$G$60)*H11+'I. Balances de energía'!$F$60/SUM('I. Balances de energía'!$C$60:$G$60)</f>
        <v>0.45928539972657889</v>
      </c>
      <c r="I23" s="137">
        <f>'I. Balances de energía'!$C$72/SUM('I. Balances de energía'!$C$72:$G$72)*I18+'I. Balances de energía'!$D$72/SUM('I. Balances de energía'!$C$72:$G$72)*I14+'I. Balances de energía'!$E$72/SUM('I. Balances de energía'!$C$72:$G$72)*I11+'I. Balances de energía'!$F$72/SUM('I. Balances de energía'!$C$72:$G$72)</f>
        <v>0.44125186009558359</v>
      </c>
      <c r="K23" s="128"/>
      <c r="L23" s="128"/>
      <c r="M23" s="128"/>
      <c r="N23" s="128"/>
      <c r="O23" s="128"/>
      <c r="P23" s="128"/>
    </row>
    <row r="25" spans="1:16">
      <c r="D25" s="133"/>
      <c r="E25" s="133"/>
      <c r="F25" s="133"/>
      <c r="G25" s="133"/>
      <c r="H25" s="133"/>
      <c r="I25" s="133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6:R102"/>
  <sheetViews>
    <sheetView showGridLines="0" workbookViewId="0"/>
  </sheetViews>
  <sheetFormatPr baseColWidth="10" defaultRowHeight="12.75"/>
  <cols>
    <col min="1" max="1" width="13.85546875" style="139" customWidth="1"/>
    <col min="2" max="8" width="13.7109375" style="139" customWidth="1"/>
    <col min="9" max="9" width="11.85546875" style="139" bestFit="1" customWidth="1"/>
    <col min="10" max="10" width="13.85546875" style="139" bestFit="1" customWidth="1"/>
    <col min="11" max="11" width="11.42578125" style="139"/>
    <col min="12" max="12" width="11.85546875" style="139" bestFit="1" customWidth="1"/>
    <col min="13" max="16384" width="11.42578125" style="139"/>
  </cols>
  <sheetData>
    <row r="6" spans="1:10" ht="15">
      <c r="A6" s="167" t="s">
        <v>97</v>
      </c>
    </row>
    <row r="8" spans="1:10" ht="13.5" thickBot="1"/>
    <row r="9" spans="1:10" ht="24" customHeight="1">
      <c r="D9" s="149" t="s">
        <v>26</v>
      </c>
      <c r="E9" s="151" t="s">
        <v>92</v>
      </c>
      <c r="F9" s="152"/>
      <c r="G9" s="152"/>
      <c r="H9" s="153"/>
      <c r="J9" s="423" t="s">
        <v>103</v>
      </c>
    </row>
    <row r="10" spans="1:10" ht="24" customHeight="1" thickBot="1">
      <c r="D10" s="150" t="s">
        <v>16</v>
      </c>
      <c r="E10" s="154" t="s">
        <v>15</v>
      </c>
      <c r="F10" s="155" t="s">
        <v>93</v>
      </c>
      <c r="G10" s="155" t="s">
        <v>94</v>
      </c>
      <c r="H10" s="156" t="s">
        <v>12</v>
      </c>
      <c r="J10" s="424"/>
    </row>
    <row r="11" spans="1:10" s="140" customFormat="1" ht="42" customHeight="1">
      <c r="A11" s="427" t="s">
        <v>95</v>
      </c>
      <c r="B11" s="428"/>
      <c r="C11" s="429"/>
      <c r="D11" s="141">
        <f>'I. Datos de entrada'!C14</f>
        <v>1439888.0886112708</v>
      </c>
      <c r="E11" s="142">
        <f>'I. Datos de entrada'!$C$30*E12</f>
        <v>499415</v>
      </c>
      <c r="F11" s="143">
        <f>'I. Datos de entrada'!$C$30*F12</f>
        <v>610337.69999999995</v>
      </c>
      <c r="G11" s="143">
        <f>'I. Datos de entrada'!$C$30*G12</f>
        <v>2132764.9</v>
      </c>
      <c r="H11" s="144">
        <f>'I. Datos de entrada'!$C$30*H12</f>
        <v>2014482.4</v>
      </c>
      <c r="J11" s="198">
        <f>SUM(D11:H11)</f>
        <v>6696888.0886112712</v>
      </c>
    </row>
    <row r="12" spans="1:10" s="33" customFormat="1" ht="42" customHeight="1" thickBot="1">
      <c r="A12" s="430" t="s">
        <v>96</v>
      </c>
      <c r="B12" s="431"/>
      <c r="C12" s="432"/>
      <c r="D12" s="145">
        <v>1</v>
      </c>
      <c r="E12" s="146">
        <f>'I. Datos de entrada'!B44</f>
        <v>9.5000000000000001E-2</v>
      </c>
      <c r="F12" s="147">
        <f>'I. Datos de entrada'!B43</f>
        <v>0.11609999999999999</v>
      </c>
      <c r="G12" s="147">
        <f>'I. Datos de entrada'!B42</f>
        <v>0.40570000000000001</v>
      </c>
      <c r="H12" s="148">
        <f>'I. Datos de entrada'!B41</f>
        <v>0.38319999999999999</v>
      </c>
      <c r="J12" s="197"/>
    </row>
    <row r="15" spans="1:10" ht="15">
      <c r="A15" s="167" t="s">
        <v>98</v>
      </c>
    </row>
    <row r="17" spans="1:10" ht="13.5" thickBot="1"/>
    <row r="18" spans="1:10" ht="24" customHeight="1">
      <c r="D18" s="149" t="s">
        <v>26</v>
      </c>
      <c r="E18" s="151" t="s">
        <v>92</v>
      </c>
      <c r="F18" s="199"/>
      <c r="G18" s="199"/>
      <c r="H18" s="200"/>
      <c r="J18" s="201" t="s">
        <v>103</v>
      </c>
    </row>
    <row r="19" spans="1:10" ht="24" customHeight="1" thickBot="1">
      <c r="D19" s="193" t="s">
        <v>16</v>
      </c>
      <c r="E19" s="194" t="s">
        <v>15</v>
      </c>
      <c r="F19" s="195" t="s">
        <v>93</v>
      </c>
      <c r="G19" s="195" t="s">
        <v>94</v>
      </c>
      <c r="H19" s="196" t="s">
        <v>12</v>
      </c>
      <c r="J19" s="202"/>
    </row>
    <row r="20" spans="1:10" ht="13.5" thickBot="1"/>
    <row r="21" spans="1:10" ht="45.75" customHeight="1">
      <c r="A21" s="427" t="s">
        <v>99</v>
      </c>
      <c r="B21" s="428"/>
      <c r="C21" s="429"/>
      <c r="D21" s="158">
        <f>'I. Datos de entrada'!$B$59</f>
        <v>0.75</v>
      </c>
      <c r="E21" s="159">
        <f>'I. Datos de entrada'!$B$58</f>
        <v>0.75</v>
      </c>
      <c r="F21" s="159">
        <f>'I. Datos de entrada'!$B$57</f>
        <v>0.75</v>
      </c>
      <c r="G21" s="159">
        <f>'I. Datos de entrada'!$B$56</f>
        <v>0.75</v>
      </c>
      <c r="H21" s="160">
        <f>'I. Datos de entrada'!$B$55</f>
        <v>1</v>
      </c>
      <c r="J21" s="161">
        <f>J22/SUM(D11:H11)</f>
        <v>0.82520218246687682</v>
      </c>
    </row>
    <row r="22" spans="1:10" ht="42.75" customHeight="1" thickBot="1">
      <c r="A22" s="430" t="s">
        <v>100</v>
      </c>
      <c r="B22" s="431"/>
      <c r="C22" s="432"/>
      <c r="D22" s="162">
        <f>D11*D21</f>
        <v>1079916.066458453</v>
      </c>
      <c r="E22" s="163">
        <f>E11*E21</f>
        <v>374561.25</v>
      </c>
      <c r="F22" s="163">
        <f>F11*F21</f>
        <v>457753.27499999997</v>
      </c>
      <c r="G22" s="163">
        <f>G11*G21</f>
        <v>1599573.6749999998</v>
      </c>
      <c r="H22" s="164">
        <f>H11*H21</f>
        <v>2014482.4</v>
      </c>
      <c r="J22" s="165">
        <f>SUM(D22:H22)</f>
        <v>5526286.6664584521</v>
      </c>
    </row>
    <row r="23" spans="1:10" ht="9.75" customHeight="1" thickBot="1">
      <c r="A23" s="166"/>
      <c r="D23" s="166"/>
      <c r="E23" s="166"/>
      <c r="F23" s="166"/>
      <c r="G23" s="166"/>
      <c r="H23" s="166"/>
      <c r="J23" s="166"/>
    </row>
    <row r="24" spans="1:10" ht="43.5" customHeight="1">
      <c r="A24" s="427" t="s">
        <v>101</v>
      </c>
      <c r="B24" s="428"/>
      <c r="C24" s="429"/>
      <c r="D24" s="158">
        <f>1-D21</f>
        <v>0.25</v>
      </c>
      <c r="E24" s="159">
        <f>1-E21</f>
        <v>0.25</v>
      </c>
      <c r="F24" s="159">
        <f>1-F21</f>
        <v>0.25</v>
      </c>
      <c r="G24" s="159">
        <f>1-G21</f>
        <v>0.25</v>
      </c>
      <c r="H24" s="160">
        <f>1-H21</f>
        <v>0</v>
      </c>
      <c r="J24" s="161">
        <f>J25/SUM(D11:H11)</f>
        <v>0.17479781753312298</v>
      </c>
    </row>
    <row r="25" spans="1:10" ht="51.75" customHeight="1" thickBot="1">
      <c r="A25" s="430" t="s">
        <v>102</v>
      </c>
      <c r="B25" s="431"/>
      <c r="C25" s="432"/>
      <c r="D25" s="162">
        <f>D11*D24</f>
        <v>359972.02215281769</v>
      </c>
      <c r="E25" s="163">
        <f>E11*E24</f>
        <v>124853.75</v>
      </c>
      <c r="F25" s="163">
        <f>F11*F24</f>
        <v>152584.42499999999</v>
      </c>
      <c r="G25" s="163">
        <f>G11*G24</f>
        <v>533191.22499999998</v>
      </c>
      <c r="H25" s="164">
        <f>H11*H24</f>
        <v>0</v>
      </c>
      <c r="J25" s="165">
        <f>SUM(D25:H25)</f>
        <v>1170601.4221528177</v>
      </c>
    </row>
    <row r="28" spans="1:10" ht="15">
      <c r="A28" s="167" t="s">
        <v>104</v>
      </c>
    </row>
    <row r="31" spans="1:10">
      <c r="A31" s="157" t="s">
        <v>107</v>
      </c>
    </row>
    <row r="32" spans="1:10" ht="13.5" thickBot="1"/>
    <row r="33" spans="1:12" ht="30" customHeight="1" thickBot="1">
      <c r="B33" s="168" t="s">
        <v>108</v>
      </c>
      <c r="C33" s="169"/>
      <c r="D33" s="170"/>
      <c r="E33" s="170"/>
      <c r="F33" s="169"/>
      <c r="H33" s="168" t="s">
        <v>105</v>
      </c>
      <c r="I33" s="169"/>
      <c r="J33" s="170"/>
      <c r="K33" s="170"/>
      <c r="L33" s="169"/>
    </row>
    <row r="34" spans="1:12" ht="6.75" customHeight="1" thickBot="1"/>
    <row r="35" spans="1:12" ht="21" customHeight="1">
      <c r="A35" s="425" t="s">
        <v>106</v>
      </c>
      <c r="B35" s="208" t="s">
        <v>1</v>
      </c>
      <c r="C35" s="171"/>
      <c r="D35" s="171"/>
      <c r="E35" s="171"/>
      <c r="F35" s="172"/>
      <c r="H35" s="173" t="s">
        <v>1</v>
      </c>
      <c r="I35" s="171"/>
      <c r="J35" s="171"/>
      <c r="K35" s="171"/>
      <c r="L35" s="172"/>
    </row>
    <row r="36" spans="1:12" ht="21" customHeight="1">
      <c r="A36" s="426"/>
      <c r="B36" s="209">
        <v>0</v>
      </c>
      <c r="C36" s="174">
        <v>1</v>
      </c>
      <c r="D36" s="174">
        <v>2</v>
      </c>
      <c r="E36" s="174">
        <v>3</v>
      </c>
      <c r="F36" s="175">
        <v>4</v>
      </c>
      <c r="H36" s="176">
        <v>0</v>
      </c>
      <c r="I36" s="174">
        <v>1</v>
      </c>
      <c r="J36" s="174">
        <v>2</v>
      </c>
      <c r="K36" s="174">
        <v>3</v>
      </c>
      <c r="L36" s="175">
        <v>4</v>
      </c>
    </row>
    <row r="37" spans="1:12" ht="18" customHeight="1">
      <c r="A37" s="205" t="s">
        <v>17</v>
      </c>
      <c r="B37" s="203">
        <f>'I. Datos de entrada'!B70</f>
        <v>0.33500000000000002</v>
      </c>
      <c r="C37" s="177">
        <f>'I. Datos de entrada'!C70</f>
        <v>0.33850000000000002</v>
      </c>
      <c r="D37" s="177">
        <f>'I. Datos de entrada'!D70</f>
        <v>0.32300000000000001</v>
      </c>
      <c r="E37" s="177">
        <f>'I. Datos de entrada'!E70</f>
        <v>0.3145</v>
      </c>
      <c r="F37" s="178">
        <f>'I. Datos de entrada'!F70</f>
        <v>0.32300000000000001</v>
      </c>
      <c r="H37" s="179">
        <f t="shared" ref="H37:H42" si="0">H$22*B37</f>
        <v>674851.60400000005</v>
      </c>
      <c r="I37" s="180">
        <f t="shared" ref="I37:I42" si="1">G$22*C37</f>
        <v>541455.68898749992</v>
      </c>
      <c r="J37" s="180">
        <f t="shared" ref="J37:J42" si="2">F$22*D37</f>
        <v>147854.307825</v>
      </c>
      <c r="K37" s="180">
        <f t="shared" ref="K37:K42" si="3">E$22*E37</f>
        <v>117799.513125</v>
      </c>
      <c r="L37" s="181">
        <f t="shared" ref="L37:L42" si="4">D$22*F37</f>
        <v>348812.88946608029</v>
      </c>
    </row>
    <row r="38" spans="1:12" ht="18" customHeight="1">
      <c r="A38" s="206" t="s">
        <v>18</v>
      </c>
      <c r="B38" s="203">
        <f>'I. Datos de entrada'!B71</f>
        <v>0.3165</v>
      </c>
      <c r="C38" s="177">
        <f>'I. Datos de entrada'!C71</f>
        <v>0.30549999999999999</v>
      </c>
      <c r="D38" s="177">
        <f>'I. Datos de entrada'!D71</f>
        <v>0.32100000000000001</v>
      </c>
      <c r="E38" s="177">
        <f>'I. Datos de entrada'!E71</f>
        <v>0.28449999999999998</v>
      </c>
      <c r="F38" s="178">
        <f>'I. Datos de entrada'!F71</f>
        <v>0.308</v>
      </c>
      <c r="H38" s="179">
        <f t="shared" si="0"/>
        <v>637583.67960000003</v>
      </c>
      <c r="I38" s="180">
        <f t="shared" si="1"/>
        <v>488669.75771249994</v>
      </c>
      <c r="J38" s="180">
        <f t="shared" si="2"/>
        <v>146938.80127500001</v>
      </c>
      <c r="K38" s="180">
        <f t="shared" si="3"/>
        <v>106562.67562499999</v>
      </c>
      <c r="L38" s="181">
        <f t="shared" si="4"/>
        <v>332614.1484692035</v>
      </c>
    </row>
    <row r="39" spans="1:12" ht="18" customHeight="1">
      <c r="A39" s="206" t="s">
        <v>19</v>
      </c>
      <c r="B39" s="203">
        <f>'I. Datos de entrada'!B72</f>
        <v>0.124</v>
      </c>
      <c r="C39" s="177">
        <f>'I. Datos de entrada'!C72</f>
        <v>0.1925</v>
      </c>
      <c r="D39" s="177">
        <f>'I. Datos de entrada'!D72</f>
        <v>0.2145</v>
      </c>
      <c r="E39" s="177">
        <f>'I. Datos de entrada'!E72</f>
        <v>0.2235</v>
      </c>
      <c r="F39" s="178">
        <f>'I. Datos de entrada'!F72</f>
        <v>0.2175</v>
      </c>
      <c r="H39" s="179">
        <f t="shared" si="0"/>
        <v>249795.81759999998</v>
      </c>
      <c r="I39" s="180">
        <f t="shared" si="1"/>
        <v>307917.93243749999</v>
      </c>
      <c r="J39" s="180">
        <f t="shared" si="2"/>
        <v>98188.077487499992</v>
      </c>
      <c r="K39" s="180">
        <f t="shared" si="3"/>
        <v>83714.439375000002</v>
      </c>
      <c r="L39" s="181">
        <f t="shared" si="4"/>
        <v>234881.74445471351</v>
      </c>
    </row>
    <row r="40" spans="1:12" ht="18" customHeight="1">
      <c r="A40" s="206" t="s">
        <v>20</v>
      </c>
      <c r="B40" s="203">
        <f>'I. Datos de entrada'!B73</f>
        <v>0.106</v>
      </c>
      <c r="C40" s="177">
        <f>'I. Datos de entrada'!C73</f>
        <v>0.14899999999999999</v>
      </c>
      <c r="D40" s="177">
        <f>'I. Datos de entrada'!D73</f>
        <v>0.13400000000000001</v>
      </c>
      <c r="E40" s="177">
        <f>'I. Datos de entrada'!E73</f>
        <v>0.158</v>
      </c>
      <c r="F40" s="178">
        <f>'I. Datos de entrada'!F73</f>
        <v>0.13800000000000001</v>
      </c>
      <c r="H40" s="179">
        <f t="shared" si="0"/>
        <v>213535.13439999998</v>
      </c>
      <c r="I40" s="180">
        <f t="shared" si="1"/>
        <v>238336.47757499997</v>
      </c>
      <c r="J40" s="180">
        <f t="shared" si="2"/>
        <v>61338.938849999999</v>
      </c>
      <c r="K40" s="180">
        <f t="shared" si="3"/>
        <v>59180.677499999998</v>
      </c>
      <c r="L40" s="181">
        <f t="shared" si="4"/>
        <v>149028.41717126651</v>
      </c>
    </row>
    <row r="41" spans="1:12" ht="18" customHeight="1">
      <c r="A41" s="206" t="s">
        <v>21</v>
      </c>
      <c r="B41" s="203">
        <f>'I. Datos de entrada'!B74</f>
        <v>8.5000000000000006E-3</v>
      </c>
      <c r="C41" s="177">
        <f>'I. Datos de entrada'!C74</f>
        <v>6.4999999999999997E-3</v>
      </c>
      <c r="D41" s="177">
        <f>'I. Datos de entrada'!D74</f>
        <v>3.0000000000000001E-3</v>
      </c>
      <c r="E41" s="177">
        <f>'I. Datos de entrada'!E74</f>
        <v>5.4999999999999997E-3</v>
      </c>
      <c r="F41" s="178">
        <f>'I. Datos de entrada'!F74</f>
        <v>2E-3</v>
      </c>
      <c r="H41" s="179">
        <f t="shared" si="0"/>
        <v>17123.100399999999</v>
      </c>
      <c r="I41" s="180">
        <f t="shared" si="1"/>
        <v>10397.228887499998</v>
      </c>
      <c r="J41" s="180">
        <f t="shared" si="2"/>
        <v>1373.2598249999999</v>
      </c>
      <c r="K41" s="180">
        <f t="shared" si="3"/>
        <v>2060.086875</v>
      </c>
      <c r="L41" s="181">
        <f t="shared" si="4"/>
        <v>2159.8321329169062</v>
      </c>
    </row>
    <row r="42" spans="1:12" ht="18" customHeight="1" thickBot="1">
      <c r="A42" s="207" t="s">
        <v>22</v>
      </c>
      <c r="B42" s="204">
        <f>'I. Datos de entrada'!B75</f>
        <v>0.11</v>
      </c>
      <c r="C42" s="182">
        <f>'I. Datos de entrada'!C75</f>
        <v>8.0000000000000002E-3</v>
      </c>
      <c r="D42" s="182">
        <f>'I. Datos de entrada'!D75</f>
        <v>4.4999999999999997E-3</v>
      </c>
      <c r="E42" s="182">
        <f>'I. Datos de entrada'!E75</f>
        <v>1.4E-2</v>
      </c>
      <c r="F42" s="183">
        <f>'I. Datos de entrada'!F75</f>
        <v>1.15E-2</v>
      </c>
      <c r="H42" s="184">
        <f t="shared" si="0"/>
        <v>221593.06399999998</v>
      </c>
      <c r="I42" s="185">
        <f t="shared" si="1"/>
        <v>12796.589399999999</v>
      </c>
      <c r="J42" s="185">
        <f t="shared" si="2"/>
        <v>2059.8897374999997</v>
      </c>
      <c r="K42" s="185">
        <f t="shared" si="3"/>
        <v>5243.8575000000001</v>
      </c>
      <c r="L42" s="186">
        <f t="shared" si="4"/>
        <v>12419.034764272208</v>
      </c>
    </row>
    <row r="43" spans="1:12" ht="13.5" thickBot="1">
      <c r="B43" s="187"/>
      <c r="C43" s="187"/>
      <c r="D43" s="187"/>
      <c r="E43" s="187"/>
      <c r="F43" s="187"/>
      <c r="H43" s="188"/>
      <c r="I43" s="188"/>
      <c r="J43" s="188"/>
      <c r="K43" s="188"/>
      <c r="L43" s="188"/>
    </row>
    <row r="44" spans="1:12" ht="18" customHeight="1" thickBot="1">
      <c r="A44" s="84" t="s">
        <v>2</v>
      </c>
      <c r="B44" s="210">
        <f>SUM(B37:B43)</f>
        <v>0.99999999999999989</v>
      </c>
      <c r="C44" s="189">
        <f>SUM(C37:C43)</f>
        <v>1</v>
      </c>
      <c r="D44" s="189">
        <f>SUM(D37:D43)</f>
        <v>1</v>
      </c>
      <c r="E44" s="189">
        <f>SUM(E37:E43)</f>
        <v>1</v>
      </c>
      <c r="F44" s="50">
        <f>SUM(F37:F43)</f>
        <v>1</v>
      </c>
      <c r="H44" s="190">
        <f>SUM(H36:H42)</f>
        <v>2014482.4000000004</v>
      </c>
      <c r="I44" s="191">
        <f t="shared" ref="I44:L44" si="5">SUM(I36:I42)</f>
        <v>1599574.6749999996</v>
      </c>
      <c r="J44" s="191">
        <f t="shared" si="5"/>
        <v>457755.27499999997</v>
      </c>
      <c r="K44" s="191">
        <f t="shared" si="5"/>
        <v>374564.24999999994</v>
      </c>
      <c r="L44" s="192">
        <f t="shared" si="5"/>
        <v>1079920.066458453</v>
      </c>
    </row>
    <row r="47" spans="1:12">
      <c r="A47" s="157" t="s">
        <v>128</v>
      </c>
    </row>
    <row r="48" spans="1:12" ht="13.5" thickBot="1"/>
    <row r="49" spans="1:12" ht="30" customHeight="1" thickBot="1">
      <c r="B49" s="168" t="s">
        <v>108</v>
      </c>
      <c r="C49" s="169"/>
      <c r="D49" s="170"/>
      <c r="E49" s="170"/>
      <c r="F49" s="169"/>
      <c r="H49" s="168" t="s">
        <v>105</v>
      </c>
      <c r="I49" s="169"/>
      <c r="J49" s="170"/>
      <c r="K49" s="170"/>
      <c r="L49" s="169"/>
    </row>
    <row r="50" spans="1:12" ht="6.75" customHeight="1" thickBot="1"/>
    <row r="51" spans="1:12" ht="21" customHeight="1">
      <c r="A51" s="425" t="s">
        <v>106</v>
      </c>
      <c r="B51" s="208" t="s">
        <v>1</v>
      </c>
      <c r="C51" s="171"/>
      <c r="D51" s="171"/>
      <c r="E51" s="171"/>
      <c r="F51" s="172"/>
      <c r="H51" s="173" t="s">
        <v>1</v>
      </c>
      <c r="I51" s="171"/>
      <c r="J51" s="171"/>
      <c r="K51" s="171"/>
      <c r="L51" s="172"/>
    </row>
    <row r="52" spans="1:12" ht="21" customHeight="1">
      <c r="A52" s="426"/>
      <c r="B52" s="209">
        <v>0</v>
      </c>
      <c r="C52" s="174">
        <v>1</v>
      </c>
      <c r="D52" s="174">
        <v>2</v>
      </c>
      <c r="E52" s="174">
        <v>3</v>
      </c>
      <c r="F52" s="175">
        <v>4</v>
      </c>
      <c r="H52" s="176">
        <v>0</v>
      </c>
      <c r="I52" s="174">
        <v>1</v>
      </c>
      <c r="J52" s="174">
        <v>2</v>
      </c>
      <c r="K52" s="174">
        <v>3</v>
      </c>
      <c r="L52" s="175">
        <v>4</v>
      </c>
    </row>
    <row r="53" spans="1:12" ht="18" customHeight="1">
      <c r="A53" s="205" t="s">
        <v>17</v>
      </c>
      <c r="B53" s="203">
        <f>'I. Datos de entrada'!B86</f>
        <v>0.33500000000000002</v>
      </c>
      <c r="C53" s="177">
        <f>'I. Datos de entrada'!C86</f>
        <v>0.33850000000000002</v>
      </c>
      <c r="D53" s="177">
        <f>'I. Datos de entrada'!D86</f>
        <v>0.32300000000000001</v>
      </c>
      <c r="E53" s="177">
        <f>'I. Datos de entrada'!E86</f>
        <v>0.3145</v>
      </c>
      <c r="F53" s="178">
        <f>'I. Datos de entrada'!F86</f>
        <v>0.32300000000000001</v>
      </c>
      <c r="H53" s="179">
        <f t="shared" ref="H53:H58" si="6">H$25*B53</f>
        <v>0</v>
      </c>
      <c r="I53" s="180">
        <f t="shared" ref="I53:I58" si="7">G$25*C53</f>
        <v>180485.2296625</v>
      </c>
      <c r="J53" s="180">
        <f t="shared" ref="J53:J58" si="8">F$25*D53</f>
        <v>49284.769274999999</v>
      </c>
      <c r="K53" s="180">
        <f t="shared" ref="K53:K58" si="9">E$25*E53</f>
        <v>39266.504374999997</v>
      </c>
      <c r="L53" s="181">
        <f t="shared" ref="L53:L58" si="10">D$25*F53</f>
        <v>116270.96315536012</v>
      </c>
    </row>
    <row r="54" spans="1:12" ht="18" customHeight="1">
      <c r="A54" s="206" t="s">
        <v>18</v>
      </c>
      <c r="B54" s="203">
        <f>'I. Datos de entrada'!B87</f>
        <v>0.3165</v>
      </c>
      <c r="C54" s="177">
        <f>'I. Datos de entrada'!C87</f>
        <v>0.30549999999999999</v>
      </c>
      <c r="D54" s="177">
        <f>'I. Datos de entrada'!D87</f>
        <v>0.32100000000000001</v>
      </c>
      <c r="E54" s="177">
        <f>'I. Datos de entrada'!E87</f>
        <v>0.28449999999999998</v>
      </c>
      <c r="F54" s="178">
        <f>'I. Datos de entrada'!F87</f>
        <v>0.308</v>
      </c>
      <c r="H54" s="179">
        <f t="shared" si="6"/>
        <v>0</v>
      </c>
      <c r="I54" s="180">
        <f t="shared" si="7"/>
        <v>162889.9192375</v>
      </c>
      <c r="J54" s="180">
        <f t="shared" si="8"/>
        <v>48979.600424999997</v>
      </c>
      <c r="K54" s="180">
        <f t="shared" si="9"/>
        <v>35520.891874999994</v>
      </c>
      <c r="L54" s="181">
        <f t="shared" si="10"/>
        <v>110871.38282306785</v>
      </c>
    </row>
    <row r="55" spans="1:12" ht="18" customHeight="1">
      <c r="A55" s="206" t="s">
        <v>19</v>
      </c>
      <c r="B55" s="203">
        <f>'I. Datos de entrada'!B88</f>
        <v>0.124</v>
      </c>
      <c r="C55" s="177">
        <f>'I. Datos de entrada'!C88</f>
        <v>0.1925</v>
      </c>
      <c r="D55" s="177">
        <f>'I. Datos de entrada'!D88</f>
        <v>0.2145</v>
      </c>
      <c r="E55" s="177">
        <f>'I. Datos de entrada'!E88</f>
        <v>0.2235</v>
      </c>
      <c r="F55" s="178">
        <f>'I. Datos de entrada'!F88</f>
        <v>0.2175</v>
      </c>
      <c r="H55" s="179">
        <f t="shared" si="6"/>
        <v>0</v>
      </c>
      <c r="I55" s="180">
        <f t="shared" si="7"/>
        <v>102639.3108125</v>
      </c>
      <c r="J55" s="180">
        <f t="shared" si="8"/>
        <v>32729.359162499997</v>
      </c>
      <c r="K55" s="180">
        <f t="shared" si="9"/>
        <v>27904.813125000001</v>
      </c>
      <c r="L55" s="181">
        <f t="shared" si="10"/>
        <v>78293.914818237841</v>
      </c>
    </row>
    <row r="56" spans="1:12" ht="18" customHeight="1">
      <c r="A56" s="206" t="s">
        <v>20</v>
      </c>
      <c r="B56" s="203">
        <f>'I. Datos de entrada'!B89</f>
        <v>0.106</v>
      </c>
      <c r="C56" s="177">
        <f>'I. Datos de entrada'!C89</f>
        <v>0.14899999999999999</v>
      </c>
      <c r="D56" s="177">
        <f>'I. Datos de entrada'!D89</f>
        <v>0.13400000000000001</v>
      </c>
      <c r="E56" s="177">
        <f>'I. Datos de entrada'!E89</f>
        <v>0.158</v>
      </c>
      <c r="F56" s="178">
        <f>'I. Datos de entrada'!F89</f>
        <v>0.13800000000000001</v>
      </c>
      <c r="H56" s="179">
        <f t="shared" si="6"/>
        <v>0</v>
      </c>
      <c r="I56" s="180">
        <f t="shared" si="7"/>
        <v>79445.492524999994</v>
      </c>
      <c r="J56" s="180">
        <f t="shared" si="8"/>
        <v>20446.31295</v>
      </c>
      <c r="K56" s="180">
        <f t="shared" si="9"/>
        <v>19726.892500000002</v>
      </c>
      <c r="L56" s="181">
        <f t="shared" si="10"/>
        <v>49676.139057088847</v>
      </c>
    </row>
    <row r="57" spans="1:12" ht="18" customHeight="1">
      <c r="A57" s="206" t="s">
        <v>21</v>
      </c>
      <c r="B57" s="203">
        <f>'I. Datos de entrada'!B90</f>
        <v>8.5000000000000006E-3</v>
      </c>
      <c r="C57" s="177">
        <f>'I. Datos de entrada'!C90</f>
        <v>6.4999999999999997E-3</v>
      </c>
      <c r="D57" s="177">
        <f>'I. Datos de entrada'!D90</f>
        <v>3.0000000000000001E-3</v>
      </c>
      <c r="E57" s="177">
        <f>'I. Datos de entrada'!E90</f>
        <v>5.4999999999999997E-3</v>
      </c>
      <c r="F57" s="178">
        <f>'I. Datos de entrada'!F90</f>
        <v>2E-3</v>
      </c>
      <c r="H57" s="179">
        <f t="shared" si="6"/>
        <v>0</v>
      </c>
      <c r="I57" s="180">
        <f t="shared" si="7"/>
        <v>3465.7429624999995</v>
      </c>
      <c r="J57" s="180">
        <f t="shared" si="8"/>
        <v>457.75327499999997</v>
      </c>
      <c r="K57" s="180">
        <f t="shared" si="9"/>
        <v>686.69562499999995</v>
      </c>
      <c r="L57" s="181">
        <f t="shared" si="10"/>
        <v>719.94404430563543</v>
      </c>
    </row>
    <row r="58" spans="1:12" ht="18" customHeight="1" thickBot="1">
      <c r="A58" s="207" t="s">
        <v>22</v>
      </c>
      <c r="B58" s="204">
        <f>'I. Datos de entrada'!B91</f>
        <v>0.11</v>
      </c>
      <c r="C58" s="182">
        <f>'I. Datos de entrada'!C91</f>
        <v>8.0000000000000002E-3</v>
      </c>
      <c r="D58" s="182">
        <f>'I. Datos de entrada'!D91</f>
        <v>4.4999999999999997E-3</v>
      </c>
      <c r="E58" s="182">
        <f>'I. Datos de entrada'!E91</f>
        <v>1.4E-2</v>
      </c>
      <c r="F58" s="183">
        <f>'I. Datos de entrada'!F91</f>
        <v>1.15E-2</v>
      </c>
      <c r="H58" s="184">
        <f t="shared" si="6"/>
        <v>0</v>
      </c>
      <c r="I58" s="185">
        <f t="shared" si="7"/>
        <v>4265.5298000000003</v>
      </c>
      <c r="J58" s="185">
        <f t="shared" si="8"/>
        <v>686.62991249999993</v>
      </c>
      <c r="K58" s="185">
        <f t="shared" si="9"/>
        <v>1747.9525000000001</v>
      </c>
      <c r="L58" s="186">
        <f t="shared" si="10"/>
        <v>4139.678254757403</v>
      </c>
    </row>
    <row r="59" spans="1:12" ht="13.5" thickBot="1">
      <c r="B59" s="187"/>
      <c r="C59" s="187"/>
      <c r="D59" s="187"/>
      <c r="E59" s="187"/>
      <c r="F59" s="187"/>
      <c r="H59" s="188"/>
      <c r="I59" s="188"/>
      <c r="J59" s="188"/>
      <c r="K59" s="188"/>
      <c r="L59" s="188"/>
    </row>
    <row r="60" spans="1:12" ht="18" customHeight="1" thickBot="1">
      <c r="A60" s="84" t="s">
        <v>2</v>
      </c>
      <c r="B60" s="210">
        <f>SUM(B53:B59)</f>
        <v>0.99999999999999989</v>
      </c>
      <c r="C60" s="189">
        <f>SUM(C53:C59)</f>
        <v>1</v>
      </c>
      <c r="D60" s="189">
        <f>SUM(D53:D59)</f>
        <v>1</v>
      </c>
      <c r="E60" s="189">
        <f>SUM(E53:E59)</f>
        <v>1</v>
      </c>
      <c r="F60" s="50">
        <f>SUM(F53:F59)</f>
        <v>1</v>
      </c>
      <c r="H60" s="190">
        <f>SUM(H52:H58)</f>
        <v>0</v>
      </c>
      <c r="I60" s="191">
        <f t="shared" ref="I60:L60" si="11">SUM(I52:I58)</f>
        <v>533192.22499999998</v>
      </c>
      <c r="J60" s="191">
        <f t="shared" si="11"/>
        <v>152586.42499999999</v>
      </c>
      <c r="K60" s="191">
        <f t="shared" si="11"/>
        <v>124856.74999999999</v>
      </c>
      <c r="L60" s="192">
        <f t="shared" si="11"/>
        <v>359976.02215281775</v>
      </c>
    </row>
    <row r="63" spans="1:12" ht="15">
      <c r="A63" s="167" t="s">
        <v>109</v>
      </c>
    </row>
    <row r="64" spans="1:12">
      <c r="A64" s="157"/>
    </row>
    <row r="65" spans="1:18">
      <c r="A65" s="157" t="s">
        <v>111</v>
      </c>
    </row>
    <row r="66" spans="1:18" ht="13.5" thickBot="1">
      <c r="A66" s="157"/>
    </row>
    <row r="67" spans="1:18" ht="36.75" customHeight="1">
      <c r="A67" s="111" t="s">
        <v>60</v>
      </c>
      <c r="B67" s="112" t="s">
        <v>59</v>
      </c>
      <c r="C67" s="118" t="s">
        <v>17</v>
      </c>
      <c r="D67" s="118" t="s">
        <v>18</v>
      </c>
      <c r="E67" s="118" t="s">
        <v>19</v>
      </c>
      <c r="F67" s="118" t="s">
        <v>20</v>
      </c>
      <c r="G67" s="118" t="s">
        <v>21</v>
      </c>
      <c r="H67" s="123" t="s">
        <v>22</v>
      </c>
      <c r="J67" s="212" t="s">
        <v>17</v>
      </c>
      <c r="K67" s="213" t="s">
        <v>18</v>
      </c>
      <c r="L67" s="213" t="s">
        <v>19</v>
      </c>
      <c r="M67" s="213" t="s">
        <v>20</v>
      </c>
      <c r="N67" s="213" t="s">
        <v>21</v>
      </c>
      <c r="O67" s="214" t="s">
        <v>22</v>
      </c>
    </row>
    <row r="68" spans="1:18" ht="19.5">
      <c r="A68" s="211" t="s">
        <v>12</v>
      </c>
      <c r="B68" s="114" t="s">
        <v>61</v>
      </c>
      <c r="C68" s="124">
        <f>'II. Coeficientes Potencia'!D9</f>
        <v>1</v>
      </c>
      <c r="D68" s="124">
        <f>'II. Coeficientes Potencia'!E9</f>
        <v>1</v>
      </c>
      <c r="E68" s="124">
        <f>'II. Coeficientes Potencia'!F9</f>
        <v>1</v>
      </c>
      <c r="F68" s="124">
        <f>'II. Coeficientes Potencia'!G9</f>
        <v>1</v>
      </c>
      <c r="G68" s="129">
        <f>'II. Coeficientes Potencia'!H9</f>
        <v>1</v>
      </c>
      <c r="H68" s="134">
        <f>'II. Coeficientes Potencia'!I9</f>
        <v>1</v>
      </c>
      <c r="J68" s="215">
        <f>$H$37*C68</f>
        <v>674851.60400000005</v>
      </c>
      <c r="K68" s="216">
        <f>$H$38*D68</f>
        <v>637583.67960000003</v>
      </c>
      <c r="L68" s="216">
        <f>$H$39*E68</f>
        <v>249795.81759999998</v>
      </c>
      <c r="M68" s="216">
        <f>$H$40*F68</f>
        <v>213535.13439999998</v>
      </c>
      <c r="N68" s="216">
        <f>$H$41*G68</f>
        <v>17123.100399999999</v>
      </c>
      <c r="O68" s="217">
        <f>$H$42*H68</f>
        <v>221593.06399999998</v>
      </c>
    </row>
    <row r="69" spans="1:18" ht="19.5">
      <c r="A69" s="419" t="s">
        <v>13</v>
      </c>
      <c r="B69" s="115" t="s">
        <v>62</v>
      </c>
      <c r="C69" s="125">
        <f>'II. Coeficientes Potencia'!D10</f>
        <v>0.27584859860179578</v>
      </c>
      <c r="D69" s="125">
        <f>'II. Coeficientes Potencia'!E10</f>
        <v>0.28927269673530498</v>
      </c>
      <c r="E69" s="125">
        <f>'II. Coeficientes Potencia'!F10</f>
        <v>0.37097784224267949</v>
      </c>
      <c r="F69" s="125">
        <f>'II. Coeficientes Potencia'!G10</f>
        <v>0.36420373568148506</v>
      </c>
      <c r="G69" s="130">
        <f>'II. Coeficientes Potencia'!H10</f>
        <v>0.3662051727255905</v>
      </c>
      <c r="H69" s="135">
        <f>'II. Coeficientes Potencia'!I10</f>
        <v>0.36482131361926085</v>
      </c>
      <c r="J69" s="218">
        <f>$I$37*C69</f>
        <v>149359.79301217163</v>
      </c>
      <c r="K69" s="219">
        <f>$I$38*D69</f>
        <v>141358.81862648294</v>
      </c>
      <c r="L69" s="219">
        <f>$I$39*E69</f>
        <v>114230.73016349091</v>
      </c>
      <c r="M69" s="219">
        <f>$I$40*F69</f>
        <v>86803.035481981482</v>
      </c>
      <c r="N69" s="219">
        <f>$I$41*G69</f>
        <v>3807.5190006144358</v>
      </c>
      <c r="O69" s="220">
        <f>$I$42*H69</f>
        <v>4668.4685547543086</v>
      </c>
    </row>
    <row r="70" spans="1:18" ht="19.5">
      <c r="A70" s="421"/>
      <c r="B70" s="116" t="s">
        <v>63</v>
      </c>
      <c r="C70" s="126">
        <f>'II. Coeficientes Potencia'!D11</f>
        <v>0.72415140139820422</v>
      </c>
      <c r="D70" s="126">
        <f>'II. Coeficientes Potencia'!E11</f>
        <v>0.71072730326469502</v>
      </c>
      <c r="E70" s="126">
        <f>'II. Coeficientes Potencia'!F11</f>
        <v>0.62902215775732062</v>
      </c>
      <c r="F70" s="126">
        <f>'II. Coeficientes Potencia'!G11</f>
        <v>0.63579626431851499</v>
      </c>
      <c r="G70" s="131">
        <f>'II. Coeficientes Potencia'!H11</f>
        <v>0.63379482727440961</v>
      </c>
      <c r="H70" s="136">
        <f>'II. Coeficientes Potencia'!I11</f>
        <v>0.63517868638073927</v>
      </c>
      <c r="J70" s="221">
        <f>$I$37*C70</f>
        <v>392095.89597532828</v>
      </c>
      <c r="K70" s="222">
        <f>$I$38*D70</f>
        <v>347310.93908601697</v>
      </c>
      <c r="L70" s="222">
        <f>$I$39*E70</f>
        <v>193687.20227400912</v>
      </c>
      <c r="M70" s="222">
        <f>$I$40*F70</f>
        <v>151533.4420930185</v>
      </c>
      <c r="N70" s="222">
        <f>$I$41*G70</f>
        <v>6589.7098868855628</v>
      </c>
      <c r="O70" s="223">
        <f>$I$42*H70</f>
        <v>8128.1208452456922</v>
      </c>
    </row>
    <row r="71" spans="1:18" ht="18.75">
      <c r="A71" s="419" t="s">
        <v>14</v>
      </c>
      <c r="B71" s="115" t="s">
        <v>64</v>
      </c>
      <c r="C71" s="125">
        <f>'II. Coeficientes Potencia'!D12</f>
        <v>0.13252149575786987</v>
      </c>
      <c r="D71" s="125">
        <f>'II. Coeficientes Potencia'!E12</f>
        <v>0.14418676557211985</v>
      </c>
      <c r="E71" s="125">
        <f>'II. Coeficientes Potencia'!F12</f>
        <v>0.14354921735557294</v>
      </c>
      <c r="F71" s="125">
        <f>'II. Coeficientes Potencia'!G12</f>
        <v>0.14614284856550822</v>
      </c>
      <c r="G71" s="130">
        <f>'II. Coeficientes Potencia'!H12</f>
        <v>0.16843387179441341</v>
      </c>
      <c r="H71" s="135">
        <f>'II. Coeficientes Potencia'!I12</f>
        <v>0.17451667893060357</v>
      </c>
      <c r="J71" s="218">
        <f>$J$37*C71</f>
        <v>19593.874027213522</v>
      </c>
      <c r="K71" s="219">
        <f>$J$38*D71</f>
        <v>21186.630492886732</v>
      </c>
      <c r="L71" s="219">
        <f>$J$39*E71</f>
        <v>14094.821676978974</v>
      </c>
      <c r="M71" s="219">
        <f>$J$40*F71</f>
        <v>8964.247251524519</v>
      </c>
      <c r="N71" s="219">
        <f>$J$41*G71</f>
        <v>231.30346930446856</v>
      </c>
      <c r="O71" s="220">
        <f>$J$42*H71</f>
        <v>359.48511595173272</v>
      </c>
    </row>
    <row r="72" spans="1:18" ht="18.75">
      <c r="A72" s="420"/>
      <c r="B72" s="115" t="s">
        <v>65</v>
      </c>
      <c r="C72" s="125">
        <f>'II. Coeficientes Potencia'!D13</f>
        <v>0.23928151012835136</v>
      </c>
      <c r="D72" s="125">
        <f>'II. Coeficientes Potencia'!E13</f>
        <v>0.24754891902686993</v>
      </c>
      <c r="E72" s="125">
        <f>'II. Coeficientes Potencia'!F13</f>
        <v>0.31771407681916702</v>
      </c>
      <c r="F72" s="125">
        <f>'II. Coeficientes Potencia'!G13</f>
        <v>0.31096253614537234</v>
      </c>
      <c r="G72" s="130">
        <f>'II. Coeficientes Potencia'!H13</f>
        <v>0.30450853080358969</v>
      </c>
      <c r="H72" s="135">
        <f>'II. Coeficientes Potencia'!I13</f>
        <v>0.30113627584221775</v>
      </c>
      <c r="J72" s="218">
        <f>$J$37*C72</f>
        <v>35378.802055348118</v>
      </c>
      <c r="K72" s="219">
        <f>$J$38*D72</f>
        <v>36374.54141873031</v>
      </c>
      <c r="L72" s="219">
        <f>$J$39*E72</f>
        <v>31195.734393589897</v>
      </c>
      <c r="M72" s="219">
        <f>$J$40*F72</f>
        <v>19074.111989261906</v>
      </c>
      <c r="N72" s="219">
        <f>$J$41*G72</f>
        <v>418.16933172234468</v>
      </c>
      <c r="O72" s="220">
        <f>$J$42*H72</f>
        <v>620.30752419635337</v>
      </c>
    </row>
    <row r="73" spans="1:18" ht="18.75">
      <c r="A73" s="421"/>
      <c r="B73" s="116" t="s">
        <v>66</v>
      </c>
      <c r="C73" s="126">
        <f>'II. Coeficientes Potencia'!D14</f>
        <v>0.62819699411377894</v>
      </c>
      <c r="D73" s="126">
        <f>'II. Coeficientes Potencia'!E14</f>
        <v>0.60826431540101022</v>
      </c>
      <c r="E73" s="126">
        <f>'II. Coeficientes Potencia'!F14</f>
        <v>0.53873670582526012</v>
      </c>
      <c r="F73" s="126">
        <f>'II. Coeficientes Potencia'!G14</f>
        <v>0.54289461528911931</v>
      </c>
      <c r="G73" s="131">
        <f>'II. Coeficientes Potencia'!H14</f>
        <v>0.52705759740199698</v>
      </c>
      <c r="H73" s="136">
        <f>'II. Coeficientes Potencia'!I14</f>
        <v>0.52434704522717879</v>
      </c>
      <c r="J73" s="221">
        <f>$J$37*C73</f>
        <v>92881.631742438389</v>
      </c>
      <c r="K73" s="222">
        <f>$J$38*D73</f>
        <v>89377.629363382963</v>
      </c>
      <c r="L73" s="222">
        <f>$J$39*E73</f>
        <v>52897.521416931129</v>
      </c>
      <c r="M73" s="222">
        <f>$J$40*F73</f>
        <v>33300.579609213564</v>
      </c>
      <c r="N73" s="222">
        <f>$J$41*G73</f>
        <v>723.78702397318671</v>
      </c>
      <c r="O73" s="223">
        <f>$J$42*H73</f>
        <v>1080.0970973519138</v>
      </c>
    </row>
    <row r="74" spans="1:18" ht="18.75">
      <c r="A74" s="419" t="s">
        <v>15</v>
      </c>
      <c r="B74" s="115" t="s">
        <v>67</v>
      </c>
      <c r="C74" s="125">
        <f>'II. Coeficientes Potencia'!D15</f>
        <v>6.4406261106531304E-2</v>
      </c>
      <c r="D74" s="125">
        <f>'II. Coeficientes Potencia'!E15</f>
        <v>7.2880390985165508E-2</v>
      </c>
      <c r="E74" s="125">
        <f>'II. Coeficientes Potencia'!F15</f>
        <v>8.5491945195467101E-2</v>
      </c>
      <c r="F74" s="125">
        <f>'II. Coeficientes Potencia'!G15</f>
        <v>7.8597420735807402E-2</v>
      </c>
      <c r="G74" s="130">
        <f>'II. Coeficientes Potencia'!H15</f>
        <v>8.8697358584653829E-2</v>
      </c>
      <c r="H74" s="135">
        <f>'II. Coeficientes Potencia'!I15</f>
        <v>8.5982239221296511E-2</v>
      </c>
      <c r="J74" s="218">
        <f>$K$37*C74</f>
        <v>7587.0262005510112</v>
      </c>
      <c r="K74" s="219">
        <f>$K$38*D74</f>
        <v>7766.3294639753658</v>
      </c>
      <c r="L74" s="219">
        <f>$K$39*E74</f>
        <v>7156.9102631167534</v>
      </c>
      <c r="M74" s="219">
        <f>$K$40*F74</f>
        <v>4651.44860889763</v>
      </c>
      <c r="N74" s="219">
        <f>$K$41*G74</f>
        <v>182.72426426741393</v>
      </c>
      <c r="O74" s="220">
        <f>$K$42*H74</f>
        <v>450.87861000738985</v>
      </c>
    </row>
    <row r="75" spans="1:18" ht="18.75">
      <c r="A75" s="420"/>
      <c r="B75" s="115" t="s">
        <v>68</v>
      </c>
      <c r="C75" s="125">
        <f>'II. Coeficientes Potencia'!D16</f>
        <v>7.4830138739108737E-2</v>
      </c>
      <c r="D75" s="125">
        <f>'II. Coeficientes Potencia'!E16</f>
        <v>7.3972022473946783E-2</v>
      </c>
      <c r="E75" s="125">
        <f>'II. Coeficientes Potencia'!F16</f>
        <v>7.664053325524571E-2</v>
      </c>
      <c r="F75" s="125">
        <f>'II. Coeficientes Potencia'!G16</f>
        <v>7.3209683620212157E-2</v>
      </c>
      <c r="G75" s="130">
        <f>'II. Coeficientes Potencia'!H16</f>
        <v>7.155233237598474E-2</v>
      </c>
      <c r="H75" s="135">
        <f>'II. Coeficientes Potencia'!I16</f>
        <v>7.4399295662661458E-2</v>
      </c>
      <c r="J75" s="218">
        <f>$K$37*C75</f>
        <v>8814.9539105432104</v>
      </c>
      <c r="K75" s="219">
        <f>$K$38*D75</f>
        <v>7882.6566362164003</v>
      </c>
      <c r="L75" s="219">
        <f>$K$39*E75</f>
        <v>6415.9192748639389</v>
      </c>
      <c r="M75" s="219">
        <f>$K$40*F75</f>
        <v>4332.5986762048078</v>
      </c>
      <c r="N75" s="219">
        <f>$K$41*G75</f>
        <v>147.40402080340371</v>
      </c>
      <c r="O75" s="220">
        <f>$K$42*H75</f>
        <v>390.13930455536479</v>
      </c>
    </row>
    <row r="76" spans="1:18" ht="18.75">
      <c r="A76" s="420"/>
      <c r="B76" s="115" t="s">
        <v>69</v>
      </c>
      <c r="C76" s="125">
        <f>'II. Coeficientes Potencia'!D17</f>
        <v>0.23743409753305844</v>
      </c>
      <c r="D76" s="125">
        <f>'II. Coeficientes Potencia'!E17</f>
        <v>0.23533330350100742</v>
      </c>
      <c r="E76" s="125">
        <f>'II. Coeficientes Potencia'!F17</f>
        <v>0.2311180930640806</v>
      </c>
      <c r="F76" s="125">
        <f>'II. Coeficientes Potencia'!G17</f>
        <v>0.2339666235020052</v>
      </c>
      <c r="G76" s="130">
        <f>'II. Coeficientes Potencia'!H17</f>
        <v>0.23163788813383246</v>
      </c>
      <c r="H76" s="135">
        <f>'II. Coeficientes Potencia'!I17</f>
        <v>0.23160127814168902</v>
      </c>
      <c r="J76" s="218">
        <f>$K$37*C76</f>
        <v>27969.621088668049</v>
      </c>
      <c r="K76" s="219">
        <f>$K$38*D76</f>
        <v>25077.746484737527</v>
      </c>
      <c r="L76" s="219">
        <f>$K$39*E76</f>
        <v>19347.921590278584</v>
      </c>
      <c r="M76" s="219">
        <f>$K$40*F76</f>
        <v>13846.30329123609</v>
      </c>
      <c r="N76" s="219">
        <f>$K$41*G76</f>
        <v>477.1941730972265</v>
      </c>
      <c r="O76" s="220">
        <f>$K$42*H76</f>
        <v>1214.4840993928819</v>
      </c>
    </row>
    <row r="77" spans="1:18" ht="18.75">
      <c r="A77" s="421"/>
      <c r="B77" s="116" t="s">
        <v>70</v>
      </c>
      <c r="C77" s="126">
        <f>'II. Coeficientes Potencia'!D18</f>
        <v>0.62332950262130171</v>
      </c>
      <c r="D77" s="126">
        <f>'II. Coeficientes Potencia'!E18</f>
        <v>0.6178142830398804</v>
      </c>
      <c r="E77" s="126">
        <f>'II. Coeficientes Potencia'!F18</f>
        <v>0.60674942848520663</v>
      </c>
      <c r="F77" s="126">
        <f>'II. Coeficientes Potencia'!G18</f>
        <v>0.61422627214197512</v>
      </c>
      <c r="G77" s="131">
        <f>'II. Coeficientes Potencia'!H18</f>
        <v>0.60811242090552897</v>
      </c>
      <c r="H77" s="136">
        <f>'II. Coeficientes Potencia'!I18</f>
        <v>0.60801718697435292</v>
      </c>
      <c r="J77" s="221">
        <f>$K$37*C77</f>
        <v>73427.911925237757</v>
      </c>
      <c r="K77" s="222">
        <f>$K$38*D77</f>
        <v>65835.943040070706</v>
      </c>
      <c r="L77" s="222">
        <f>$K$39*E77</f>
        <v>50793.688246740727</v>
      </c>
      <c r="M77" s="222">
        <f>$K$40*F77</f>
        <v>36350.326923661465</v>
      </c>
      <c r="N77" s="222">
        <f>$K$41*G77</f>
        <v>1252.7644168319559</v>
      </c>
      <c r="O77" s="223">
        <f>$K$42*H77</f>
        <v>3188.3554860443628</v>
      </c>
    </row>
    <row r="78" spans="1:18" ht="18.75">
      <c r="A78" s="419" t="s">
        <v>16</v>
      </c>
      <c r="B78" s="115" t="s">
        <v>71</v>
      </c>
      <c r="C78" s="125">
        <f>'II. Coeficientes Potencia'!D19</f>
        <v>8.8651253599981369E-2</v>
      </c>
      <c r="D78" s="125">
        <f>'II. Coeficientes Potencia'!E19</f>
        <v>0.11272761899237438</v>
      </c>
      <c r="E78" s="125">
        <f>'II. Coeficientes Potencia'!F19</f>
        <v>7.6576102103707827E-2</v>
      </c>
      <c r="F78" s="125">
        <f>'II. Coeficientes Potencia'!G19</f>
        <v>9.7934893088992739E-2</v>
      </c>
      <c r="G78" s="130">
        <f>'II. Coeficientes Potencia'!H19</f>
        <v>0.13765347585943394</v>
      </c>
      <c r="H78" s="135">
        <f>'II. Coeficientes Potencia'!I19</f>
        <v>0.12873773353231208</v>
      </c>
      <c r="J78" s="218">
        <f>$L$37*C78</f>
        <v>30922.699922999753</v>
      </c>
      <c r="K78" s="219">
        <f>$L$38*D78</f>
        <v>37494.801000109415</v>
      </c>
      <c r="L78" s="219">
        <f>$L$39*E78</f>
        <v>17986.328445661151</v>
      </c>
      <c r="M78" s="219">
        <f>$L$40*F78</f>
        <v>14595.082102889795</v>
      </c>
      <c r="N78" s="219">
        <f>$L$41*G78</f>
        <v>297.30840036890703</v>
      </c>
      <c r="O78" s="220">
        <f>$L$42*H78</f>
        <v>1598.7983882113956</v>
      </c>
      <c r="P78" s="404"/>
      <c r="R78" s="187"/>
    </row>
    <row r="79" spans="1:18" ht="18.75">
      <c r="A79" s="420"/>
      <c r="B79" s="115" t="s">
        <v>72</v>
      </c>
      <c r="C79" s="125">
        <f>'II. Coeficientes Potencia'!D20</f>
        <v>2.7754371875863892E-2</v>
      </c>
      <c r="D79" s="125">
        <f>'II. Coeficientes Potencia'!E20</f>
        <v>2.9244587097711439E-2</v>
      </c>
      <c r="E79" s="125">
        <f>'II. Coeficientes Potencia'!F20</f>
        <v>3.6691074886905622E-2</v>
      </c>
      <c r="F79" s="125">
        <f>'II. Coeficientes Potencia'!G20</f>
        <v>3.2329439654781064E-2</v>
      </c>
      <c r="G79" s="130">
        <f>'II. Coeficientes Potencia'!H20</f>
        <v>3.3235579019172665E-2</v>
      </c>
      <c r="H79" s="135">
        <f>'II. Coeficientes Potencia'!I20</f>
        <v>3.51408771461292E-2</v>
      </c>
      <c r="J79" s="218">
        <f>$L$37*C79</f>
        <v>9681.0826493361983</v>
      </c>
      <c r="K79" s="219">
        <f>$L$38*D79</f>
        <v>9727.1634348387452</v>
      </c>
      <c r="L79" s="219">
        <f>$L$39*E79</f>
        <v>8618.0636753549225</v>
      </c>
      <c r="M79" s="219">
        <f>$L$40*F79</f>
        <v>4818.0052197859986</v>
      </c>
      <c r="N79" s="219">
        <f>$L$41*G79</f>
        <v>71.783271521708073</v>
      </c>
      <c r="O79" s="220">
        <f>$L$42*H79</f>
        <v>436.41577492479729</v>
      </c>
    </row>
    <row r="80" spans="1:18" ht="18.75">
      <c r="A80" s="420"/>
      <c r="B80" s="115" t="s">
        <v>73</v>
      </c>
      <c r="C80" s="125">
        <f>'II. Coeficientes Potencia'!D21</f>
        <v>6.6986300644503269E-2</v>
      </c>
      <c r="D80" s="125">
        <f>'II. Coeficientes Potencia'!E21</f>
        <v>6.5856531112217606E-2</v>
      </c>
      <c r="E80" s="125">
        <f>'II. Coeficientes Potencia'!F21</f>
        <v>7.1541387572728293E-2</v>
      </c>
      <c r="F80" s="125">
        <f>'II. Coeficientes Potencia'!G21</f>
        <v>6.7869441815501932E-2</v>
      </c>
      <c r="G80" s="130">
        <f>'II. Coeficientes Potencia'!H21</f>
        <v>7.0119233416365695E-2</v>
      </c>
      <c r="H80" s="135">
        <f>'II. Coeficientes Potencia'!I21</f>
        <v>7.566128093793259E-2</v>
      </c>
      <c r="J80" s="218">
        <f>$L$37*C80</f>
        <v>23365.685082452743</v>
      </c>
      <c r="K80" s="219">
        <f>$L$38*D80</f>
        <v>21904.814017025867</v>
      </c>
      <c r="L80" s="219">
        <f>$L$39*E80</f>
        <v>16803.765913793184</v>
      </c>
      <c r="M80" s="219">
        <f>$L$40*F80</f>
        <v>10114.475488061622</v>
      </c>
      <c r="N80" s="219">
        <f>$L$41*G80</f>
        <v>151.44577346816752</v>
      </c>
      <c r="O80" s="220">
        <f>$L$42*H80</f>
        <v>939.64007827755097</v>
      </c>
    </row>
    <row r="81" spans="1:15" ht="18.75">
      <c r="A81" s="420"/>
      <c r="B81" s="115" t="s">
        <v>74</v>
      </c>
      <c r="C81" s="125">
        <f>'II. Coeficientes Potencia'!D22</f>
        <v>0.22525452156758519</v>
      </c>
      <c r="D81" s="125">
        <f>'II. Coeficientes Potencia'!E22</f>
        <v>0.22455175115995898</v>
      </c>
      <c r="E81" s="125">
        <f>'II. Coeficientes Potencia'!F22</f>
        <v>0.26820467242622403</v>
      </c>
      <c r="F81" s="125">
        <f>'II. Coeficientes Potencia'!G22</f>
        <v>0.26121020021269836</v>
      </c>
      <c r="G81" s="130">
        <f>'II. Coeficientes Potencia'!H22</f>
        <v>0.24950881245702553</v>
      </c>
      <c r="H81" s="135">
        <f>'II. Coeficientes Potencia'!I22</f>
        <v>0.24689379331662947</v>
      </c>
      <c r="J81" s="218">
        <f>$L$37*C81</f>
        <v>78571.680533288891</v>
      </c>
      <c r="K81" s="219">
        <f>$L$38*D81</f>
        <v>74689.089499338239</v>
      </c>
      <c r="L81" s="219">
        <f>$L$39*E81</f>
        <v>62996.381330376498</v>
      </c>
      <c r="M81" s="219">
        <f>$L$40*F81</f>
        <v>38927.742686688063</v>
      </c>
      <c r="N81" s="219">
        <f>$L$41*G81</f>
        <v>538.89715059062178</v>
      </c>
      <c r="O81" s="220">
        <f>$L$42*H81</f>
        <v>3066.1826022822588</v>
      </c>
    </row>
    <row r="82" spans="1:15" ht="19.5" thickBot="1">
      <c r="A82" s="422"/>
      <c r="B82" s="117" t="s">
        <v>75</v>
      </c>
      <c r="C82" s="127">
        <f>'II. Coeficientes Potencia'!D23</f>
        <v>0.59135355231206654</v>
      </c>
      <c r="D82" s="127">
        <f>'II. Coeficientes Potencia'!E23</f>
        <v>0.56761951163773761</v>
      </c>
      <c r="E82" s="127">
        <f>'II. Coeficientes Potencia'!F23</f>
        <v>0.54698676301043425</v>
      </c>
      <c r="F82" s="127">
        <f>'II. Coeficientes Potencia'!G23</f>
        <v>0.54065602522802592</v>
      </c>
      <c r="G82" s="132">
        <f>'II. Coeficientes Potencia'!H23</f>
        <v>0.50948289924800239</v>
      </c>
      <c r="H82" s="137">
        <f>'II. Coeficientes Potencia'!I23</f>
        <v>0.51356631506699646</v>
      </c>
      <c r="J82" s="224">
        <f>$L$37*C82</f>
        <v>206271.7412780028</v>
      </c>
      <c r="K82" s="225">
        <f>$L$38*D82</f>
        <v>188798.28051789125</v>
      </c>
      <c r="L82" s="225">
        <f>$L$39*E82</f>
        <v>128477.20508952776</v>
      </c>
      <c r="M82" s="225">
        <f>$L$40*F82</f>
        <v>80573.111673841035</v>
      </c>
      <c r="N82" s="225">
        <f>$L$41*G82</f>
        <v>1100.3975369675022</v>
      </c>
      <c r="O82" s="226">
        <f>$L$42*H82</f>
        <v>6377.9979205762029</v>
      </c>
    </row>
    <row r="85" spans="1:15">
      <c r="A85" s="157" t="s">
        <v>110</v>
      </c>
    </row>
    <row r="86" spans="1:15" ht="13.5" thickBot="1">
      <c r="A86" s="157"/>
    </row>
    <row r="87" spans="1:15" ht="36.75" customHeight="1">
      <c r="A87" s="111" t="s">
        <v>60</v>
      </c>
      <c r="B87" s="112" t="s">
        <v>59</v>
      </c>
      <c r="C87" s="118" t="s">
        <v>17</v>
      </c>
      <c r="D87" s="118" t="s">
        <v>18</v>
      </c>
      <c r="E87" s="118" t="s">
        <v>19</v>
      </c>
      <c r="F87" s="118" t="s">
        <v>20</v>
      </c>
      <c r="G87" s="118" t="s">
        <v>21</v>
      </c>
      <c r="H87" s="123" t="s">
        <v>22</v>
      </c>
      <c r="J87" s="212" t="s">
        <v>17</v>
      </c>
      <c r="K87" s="213" t="s">
        <v>18</v>
      </c>
      <c r="L87" s="213" t="s">
        <v>19</v>
      </c>
      <c r="M87" s="213" t="s">
        <v>20</v>
      </c>
      <c r="N87" s="213" t="s">
        <v>21</v>
      </c>
      <c r="O87" s="214" t="s">
        <v>22</v>
      </c>
    </row>
    <row r="88" spans="1:15" ht="19.5">
      <c r="A88" s="211" t="s">
        <v>12</v>
      </c>
      <c r="B88" s="114" t="s">
        <v>61</v>
      </c>
      <c r="C88" s="124">
        <f>'II. Coeficientes Energía'!D9</f>
        <v>1</v>
      </c>
      <c r="D88" s="124">
        <f>'II. Coeficientes Energía'!E9</f>
        <v>1</v>
      </c>
      <c r="E88" s="124">
        <f>'II. Coeficientes Energía'!F9</f>
        <v>1</v>
      </c>
      <c r="F88" s="124">
        <f>'II. Coeficientes Energía'!G9</f>
        <v>1</v>
      </c>
      <c r="G88" s="129">
        <f>'II. Coeficientes Energía'!H9</f>
        <v>1</v>
      </c>
      <c r="H88" s="134">
        <f>'II. Coeficientes Energía'!I9</f>
        <v>1</v>
      </c>
      <c r="J88" s="215">
        <f>$H$53*C88</f>
        <v>0</v>
      </c>
      <c r="K88" s="216">
        <f>$H$54*D88</f>
        <v>0</v>
      </c>
      <c r="L88" s="216">
        <f>$H$55*E88</f>
        <v>0</v>
      </c>
      <c r="M88" s="216">
        <f>$H$56*F88</f>
        <v>0</v>
      </c>
      <c r="N88" s="216">
        <f>$H$57*G88</f>
        <v>0</v>
      </c>
      <c r="O88" s="217">
        <f>$H$58*H88</f>
        <v>0</v>
      </c>
    </row>
    <row r="89" spans="1:15" ht="19.5">
      <c r="A89" s="419" t="s">
        <v>13</v>
      </c>
      <c r="B89" s="115" t="s">
        <v>62</v>
      </c>
      <c r="C89" s="125">
        <f>'II. Coeficientes Energía'!D10</f>
        <v>0.35874372597645576</v>
      </c>
      <c r="D89" s="125">
        <f>'II. Coeficientes Energía'!E10</f>
        <v>0.36208771949123314</v>
      </c>
      <c r="E89" s="125">
        <f>'II. Coeficientes Energía'!F10</f>
        <v>0.37212323006278702</v>
      </c>
      <c r="F89" s="125">
        <f>'II. Coeficientes Energía'!G10</f>
        <v>0.38380674850819213</v>
      </c>
      <c r="G89" s="130">
        <f>'II. Coeficientes Energía'!H10</f>
        <v>0.3916186526839136</v>
      </c>
      <c r="H89" s="135">
        <f>'II. Coeficientes Energía'!I10</f>
        <v>0.38187007399369494</v>
      </c>
      <c r="J89" s="218">
        <f>$I$53*C89</f>
        <v>64747.943772841587</v>
      </c>
      <c r="K89" s="219">
        <f>$I$54*D89</f>
        <v>58980.439384817517</v>
      </c>
      <c r="L89" s="219">
        <f>$I$55*E89</f>
        <v>38194.471870965841</v>
      </c>
      <c r="M89" s="219">
        <f>$I$56*F89</f>
        <v>30491.716169652129</v>
      </c>
      <c r="N89" s="219">
        <f>$I$57*G89</f>
        <v>1357.2495895230052</v>
      </c>
      <c r="O89" s="220">
        <f>$I$58*H89</f>
        <v>1628.8781803483109</v>
      </c>
    </row>
    <row r="90" spans="1:15" ht="19.5">
      <c r="A90" s="421"/>
      <c r="B90" s="116" t="s">
        <v>63</v>
      </c>
      <c r="C90" s="126">
        <f>'II. Coeficientes Energía'!D11</f>
        <v>0.64125627402354435</v>
      </c>
      <c r="D90" s="126">
        <f>'II. Coeficientes Energía'!E11</f>
        <v>0.63791228050876692</v>
      </c>
      <c r="E90" s="126">
        <f>'II. Coeficientes Energía'!F11</f>
        <v>0.62787676993721298</v>
      </c>
      <c r="F90" s="126">
        <f>'II. Coeficientes Energía'!G11</f>
        <v>0.61619325149180781</v>
      </c>
      <c r="G90" s="131">
        <f>'II. Coeficientes Energía'!H11</f>
        <v>0.6083813473160864</v>
      </c>
      <c r="H90" s="136">
        <f>'II. Coeficientes Energía'!I11</f>
        <v>0.61812992600630512</v>
      </c>
      <c r="J90" s="221">
        <f>$I$53*C90</f>
        <v>115737.28588965844</v>
      </c>
      <c r="K90" s="222">
        <f>$I$54*D90</f>
        <v>103909.47985268249</v>
      </c>
      <c r="L90" s="222">
        <f>$I$55*E90</f>
        <v>64444.838941534159</v>
      </c>
      <c r="M90" s="222">
        <f>$I$56*F90</f>
        <v>48953.776355347858</v>
      </c>
      <c r="N90" s="222">
        <f>$I$57*G90</f>
        <v>2108.4933729769946</v>
      </c>
      <c r="O90" s="223">
        <f>$I$58*H90</f>
        <v>2636.6516196516895</v>
      </c>
    </row>
    <row r="91" spans="1:15" ht="18.75">
      <c r="A91" s="419" t="s">
        <v>14</v>
      </c>
      <c r="B91" s="115" t="s">
        <v>64</v>
      </c>
      <c r="C91" s="125">
        <f>'II. Coeficientes Energía'!D12</f>
        <v>0.16271796130094249</v>
      </c>
      <c r="D91" s="125">
        <f>'II. Coeficientes Energía'!E12</f>
        <v>0.16840417482150577</v>
      </c>
      <c r="E91" s="125">
        <f>'II. Coeficientes Energía'!F12</f>
        <v>0.1769642367215632</v>
      </c>
      <c r="F91" s="125">
        <f>'II. Coeficientes Energía'!G12</f>
        <v>0.18383425181046098</v>
      </c>
      <c r="G91" s="130">
        <f>'II. Coeficientes Energía'!H12</f>
        <v>0.18743199316373602</v>
      </c>
      <c r="H91" s="135">
        <f>'II. Coeficientes Energía'!I12</f>
        <v>0.19448725351533078</v>
      </c>
      <c r="J91" s="218">
        <f>$J$53*C91</f>
        <v>8019.517179615329</v>
      </c>
      <c r="K91" s="219">
        <f>$J$54*D91</f>
        <v>8248.3691926591982</v>
      </c>
      <c r="L91" s="219">
        <f>$J$55*E91</f>
        <v>5791.9260625777124</v>
      </c>
      <c r="M91" s="219">
        <f>$J$56*F91</f>
        <v>3758.7326434457891</v>
      </c>
      <c r="N91" s="219">
        <f>$J$57*G91</f>
        <v>85.79760871047776</v>
      </c>
      <c r="O91" s="220">
        <f>$J$58*H91</f>
        <v>133.54076586359687</v>
      </c>
    </row>
    <row r="92" spans="1:15" ht="18.75">
      <c r="A92" s="420"/>
      <c r="B92" s="115" t="s">
        <v>65</v>
      </c>
      <c r="C92" s="125">
        <f>'II. Coeficientes Energía'!D13</f>
        <v>0.30035431181599193</v>
      </c>
      <c r="D92" s="125">
        <f>'II. Coeficientes Energía'!E13</f>
        <v>0.30109198901584411</v>
      </c>
      <c r="E92" s="125">
        <f>'II. Coeficientes Energía'!F13</f>
        <v>0.30625226982333814</v>
      </c>
      <c r="F92" s="125">
        <f>'II. Coeficientes Energía'!G13</f>
        <v>0.31323091923070706</v>
      </c>
      <c r="G92" s="130">
        <f>'II. Coeficientes Energía'!H13</f>
        <v>0.31819721772335652</v>
      </c>
      <c r="H92" s="135">
        <f>'II. Coeficientes Energía'!I13</f>
        <v>0.30757479164193885</v>
      </c>
      <c r="J92" s="218">
        <f>$J$53*C92</f>
        <v>14802.892958602568</v>
      </c>
      <c r="K92" s="219">
        <f>$J$54*D92</f>
        <v>14747.365313164533</v>
      </c>
      <c r="L92" s="219">
        <f>$J$55*E92</f>
        <v>10023.440533378893</v>
      </c>
      <c r="M92" s="219">
        <f>$J$56*F92</f>
        <v>6404.4174002072095</v>
      </c>
      <c r="N92" s="219">
        <f>$J$57*G92</f>
        <v>145.65581850875449</v>
      </c>
      <c r="O92" s="220">
        <f>$J$58*H92</f>
        <v>211.19005227231017</v>
      </c>
    </row>
    <row r="93" spans="1:15" ht="18.75">
      <c r="A93" s="421"/>
      <c r="B93" s="116" t="s">
        <v>66</v>
      </c>
      <c r="C93" s="126">
        <f>'II. Coeficientes Energía'!D14</f>
        <v>0.53692772688306567</v>
      </c>
      <c r="D93" s="126">
        <f>'II. Coeficientes Energía'!E14</f>
        <v>0.53050383616265018</v>
      </c>
      <c r="E93" s="126">
        <f>'II. Coeficientes Energía'!F14</f>
        <v>0.51678349345509877</v>
      </c>
      <c r="F93" s="126">
        <f>'II. Coeficientes Energía'!G14</f>
        <v>0.50293482895883179</v>
      </c>
      <c r="G93" s="131">
        <f>'II. Coeficientes Energía'!H14</f>
        <v>0.49437078911290755</v>
      </c>
      <c r="H93" s="136">
        <f>'II. Coeficientes Energía'!I14</f>
        <v>0.4979379548427304</v>
      </c>
      <c r="J93" s="221">
        <f>$J$53*C93</f>
        <v>26462.359136782106</v>
      </c>
      <c r="K93" s="222">
        <f>$J$54*D93</f>
        <v>25983.865919176271</v>
      </c>
      <c r="L93" s="222">
        <f>$J$55*E93</f>
        <v>16913.992566543395</v>
      </c>
      <c r="M93" s="222">
        <f>$J$56*F93</f>
        <v>10283.162906346997</v>
      </c>
      <c r="N93" s="222">
        <f>$J$57*G93</f>
        <v>226.29984778076775</v>
      </c>
      <c r="O93" s="223">
        <f>$J$58*H93</f>
        <v>341.89909436409289</v>
      </c>
    </row>
    <row r="94" spans="1:15" ht="18.75">
      <c r="A94" s="419" t="s">
        <v>15</v>
      </c>
      <c r="B94" s="115" t="s">
        <v>67</v>
      </c>
      <c r="C94" s="125">
        <f>'II. Coeficientes Energía'!D15</f>
        <v>8.0233094201883001E-2</v>
      </c>
      <c r="D94" s="125">
        <f>'II. Coeficientes Energía'!E15</f>
        <v>8.5923044477481197E-2</v>
      </c>
      <c r="E94" s="125">
        <f>'II. Coeficientes Energía'!F15</f>
        <v>9.4538352625348307E-2</v>
      </c>
      <c r="F94" s="125">
        <f>'II. Coeficientes Energía'!G15</f>
        <v>9.8933337044303626E-2</v>
      </c>
      <c r="G94" s="130">
        <f>'II. Coeficientes Energía'!H15</f>
        <v>9.9710000825639855E-2</v>
      </c>
      <c r="H94" s="135">
        <f>'II. Coeficientes Energía'!I15</f>
        <v>0.12877790518221163</v>
      </c>
      <c r="J94" s="218">
        <f>$K$53*C94</f>
        <v>3150.4731444980257</v>
      </c>
      <c r="K94" s="219">
        <f>$K$54*D94</f>
        <v>3052.063172455425</v>
      </c>
      <c r="L94" s="219">
        <f>$K$55*E94</f>
        <v>2638.0750631556975</v>
      </c>
      <c r="M94" s="219">
        <f>$K$56*F94</f>
        <v>1951.6473045392456</v>
      </c>
      <c r="N94" s="219">
        <f>$K$57*G94</f>
        <v>68.470421335713269</v>
      </c>
      <c r="O94" s="220">
        <f>$K$58*H94</f>
        <v>225.0976613080098</v>
      </c>
    </row>
    <row r="95" spans="1:15" ht="18.75">
      <c r="A95" s="420"/>
      <c r="B95" s="115" t="s">
        <v>68</v>
      </c>
      <c r="C95" s="125">
        <f>'II. Coeficientes Energía'!D16</f>
        <v>8.8738330387242242E-2</v>
      </c>
      <c r="D95" s="125">
        <f>'II. Coeficientes Energía'!E16</f>
        <v>8.9146904030238325E-2</v>
      </c>
      <c r="E95" s="125">
        <f>'II. Coeficientes Energía'!F16</f>
        <v>8.7915727674951122E-2</v>
      </c>
      <c r="F95" s="125">
        <f>'II. Coeficientes Energía'!G16</f>
        <v>8.7524530558108035E-2</v>
      </c>
      <c r="G95" s="130">
        <f>'II. Coeficientes Energía'!H16</f>
        <v>8.7091788340236675E-2</v>
      </c>
      <c r="H95" s="135">
        <f>'II. Coeficientes Energía'!I16</f>
        <v>8.4967515606800451E-2</v>
      </c>
      <c r="J95" s="218">
        <f>$K$53*C95</f>
        <v>3484.4440383808428</v>
      </c>
      <c r="K95" s="219">
        <f>$K$54*D95</f>
        <v>3166.5775390490967</v>
      </c>
      <c r="L95" s="219">
        <f>$K$55*E95</f>
        <v>2453.2719515179019</v>
      </c>
      <c r="M95" s="219">
        <f>$K$56*F95</f>
        <v>1726.5870054327625</v>
      </c>
      <c r="N95" s="219">
        <f>$K$57*G95</f>
        <v>59.805550026666531</v>
      </c>
      <c r="O95" s="220">
        <f>$K$58*H95</f>
        <v>148.51918132369588</v>
      </c>
    </row>
    <row r="96" spans="1:15" ht="18.75">
      <c r="A96" s="420"/>
      <c r="B96" s="115" t="s">
        <v>69</v>
      </c>
      <c r="C96" s="125">
        <f>'II. Coeficientes Energía'!D17</f>
        <v>0.29811790743919314</v>
      </c>
      <c r="D96" s="125">
        <f>'II. Coeficientes Energía'!E17</f>
        <v>0.29593006166160279</v>
      </c>
      <c r="E96" s="125">
        <f>'II. Coeficientes Energía'!F17</f>
        <v>0.2932811669766523</v>
      </c>
      <c r="F96" s="125">
        <f>'II. Coeficientes Energía'!G17</f>
        <v>0.2918448703449823</v>
      </c>
      <c r="G96" s="130">
        <f>'II. Coeficientes Energía'!H17</f>
        <v>0.29172153150832314</v>
      </c>
      <c r="H96" s="135">
        <f>'II. Coeficientes Energía'!I17</f>
        <v>0.28205587331640947</v>
      </c>
      <c r="J96" s="218">
        <f>$K$53*C96</f>
        <v>11706.048116726921</v>
      </c>
      <c r="K96" s="219">
        <f>$K$54*D96</f>
        <v>10511.699722843874</v>
      </c>
      <c r="L96" s="219">
        <f>$K$55*E96</f>
        <v>8183.9561575654034</v>
      </c>
      <c r="M96" s="219">
        <f>$K$56*F96</f>
        <v>5757.1923839719038</v>
      </c>
      <c r="N96" s="219">
        <f>$K$57*G96</f>
        <v>200.32389940506513</v>
      </c>
      <c r="O96" s="220">
        <f>$K$58*H96</f>
        <v>493.02026890310123</v>
      </c>
    </row>
    <row r="97" spans="1:15" ht="18.75">
      <c r="A97" s="421"/>
      <c r="B97" s="116" t="s">
        <v>70</v>
      </c>
      <c r="C97" s="126">
        <f>'II. Coeficientes Energía'!D18</f>
        <v>0.53291066797168152</v>
      </c>
      <c r="D97" s="126">
        <f>'II. Coeficientes Energía'!E18</f>
        <v>0.52899998983067764</v>
      </c>
      <c r="E97" s="126">
        <f>'II. Coeficientes Energía'!F18</f>
        <v>0.52426475272304829</v>
      </c>
      <c r="F97" s="126">
        <f>'II. Coeficientes Energía'!G18</f>
        <v>0.52169726205260614</v>
      </c>
      <c r="G97" s="131">
        <f>'II. Coeficientes Energía'!H18</f>
        <v>0.52147667932580044</v>
      </c>
      <c r="H97" s="136">
        <f>'II. Coeficientes Energía'!I18</f>
        <v>0.50419870589457849</v>
      </c>
      <c r="J97" s="221">
        <f>$K$53*C97</f>
        <v>20925.539075394205</v>
      </c>
      <c r="K97" s="222">
        <f>$K$54*D97</f>
        <v>18790.551440651598</v>
      </c>
      <c r="L97" s="222">
        <f>$K$55*E97</f>
        <v>14629.509952760998</v>
      </c>
      <c r="M97" s="222">
        <f>$K$56*F97</f>
        <v>10291.465806056092</v>
      </c>
      <c r="N97" s="222">
        <f>$K$57*G97</f>
        <v>358.09575423255507</v>
      </c>
      <c r="O97" s="223">
        <f>$K$58*H97</f>
        <v>881.31538846519322</v>
      </c>
    </row>
    <row r="98" spans="1:15" ht="18.75">
      <c r="A98" s="419" t="s">
        <v>16</v>
      </c>
      <c r="B98" s="115" t="s">
        <v>71</v>
      </c>
      <c r="C98" s="125">
        <f>'II. Coeficientes Energía'!D19</f>
        <v>0.10700695290755527</v>
      </c>
      <c r="D98" s="125">
        <f>'II. Coeficientes Energía'!E19</f>
        <v>0.11720408285006341</v>
      </c>
      <c r="E98" s="125">
        <f>'II. Coeficientes Energía'!F19</f>
        <v>0.13428589646808162</v>
      </c>
      <c r="F98" s="125">
        <f>'II. Coeficientes Energía'!G19</f>
        <v>0.14143891150682122</v>
      </c>
      <c r="G98" s="130">
        <f>'II. Coeficientes Energía'!H19</f>
        <v>0.1433755456289825</v>
      </c>
      <c r="H98" s="135">
        <f>'II. Coeficientes Energía'!I19</f>
        <v>0.16648347123757606</v>
      </c>
      <c r="J98" s="218">
        <f>$L$53*C98</f>
        <v>12441.801478881715</v>
      </c>
      <c r="K98" s="219">
        <f>$L$54*D98</f>
        <v>12994.578738095941</v>
      </c>
      <c r="L98" s="219">
        <f>$L$55*E98</f>
        <v>10513.768539362687</v>
      </c>
      <c r="M98" s="219">
        <f>$L$56*F98</f>
        <v>7026.139036096135</v>
      </c>
      <c r="N98" s="219">
        <f>$L$57*G98</f>
        <v>103.22237017465683</v>
      </c>
      <c r="O98" s="220">
        <f>$L$58*H98</f>
        <v>689.18800565872323</v>
      </c>
    </row>
    <row r="99" spans="1:15" ht="18.75">
      <c r="A99" s="420"/>
      <c r="B99" s="115" t="s">
        <v>72</v>
      </c>
      <c r="C99" s="125">
        <f>'II. Coeficientes Energía'!D20</f>
        <v>3.3009612286175882E-2</v>
      </c>
      <c r="D99" s="125">
        <f>'II. Coeficientes Energía'!E20</f>
        <v>3.512170422598293E-2</v>
      </c>
      <c r="E99" s="125">
        <f>'II. Coeficientes Energía'!F20</f>
        <v>3.7960203867805901E-2</v>
      </c>
      <c r="F99" s="125">
        <f>'II. Coeficientes Energía'!G20</f>
        <v>3.9393569236329092E-2</v>
      </c>
      <c r="G99" s="130">
        <f>'II. Coeficientes Energía'!H20</f>
        <v>3.9503068588768828E-2</v>
      </c>
      <c r="H99" s="135">
        <f>'II. Coeficientes Energía'!I20</f>
        <v>5.1766744519994197E-2</v>
      </c>
      <c r="J99" s="218">
        <f>$L$53*C99</f>
        <v>3838.0594138986789</v>
      </c>
      <c r="K99" s="219">
        <f>$L$54*D99</f>
        <v>3893.9919146375132</v>
      </c>
      <c r="L99" s="219">
        <f>$L$55*E99</f>
        <v>2972.0529681089379</v>
      </c>
      <c r="M99" s="219">
        <f>$L$56*F99</f>
        <v>1956.9204233389412</v>
      </c>
      <c r="N99" s="219">
        <f>$L$57*G99</f>
        <v>28.439998962281141</v>
      </c>
      <c r="O99" s="220">
        <f>$L$58*H99</f>
        <v>214.29766660900194</v>
      </c>
    </row>
    <row r="100" spans="1:15" ht="18.75">
      <c r="A100" s="420"/>
      <c r="B100" s="115" t="s">
        <v>73</v>
      </c>
      <c r="C100" s="125">
        <f>'II. Coeficientes Energía'!D21</f>
        <v>7.7921360063677364E-2</v>
      </c>
      <c r="D100" s="125">
        <f>'II. Coeficientes Energía'!E21</f>
        <v>7.8644353853282722E-2</v>
      </c>
      <c r="E100" s="125">
        <f>'II. Coeficientes Energía'!F21</f>
        <v>7.8384718773718165E-2</v>
      </c>
      <c r="F100" s="125">
        <f>'II. Coeficientes Energía'!G21</f>
        <v>7.9165197350233779E-2</v>
      </c>
      <c r="G100" s="130">
        <f>'II. Coeficientes Energía'!H21</f>
        <v>7.9613514325160922E-2</v>
      </c>
      <c r="H100" s="135">
        <f>'II. Coeficientes Energía'!I21</f>
        <v>7.974029203341268E-2</v>
      </c>
      <c r="J100" s="218">
        <f>$L$53*C100</f>
        <v>9059.9915849793797</v>
      </c>
      <c r="K100" s="219">
        <f>$L$54*D100</f>
        <v>8719.40826294012</v>
      </c>
      <c r="L100" s="219">
        <f>$L$55*E100</f>
        <v>6137.0464947210185</v>
      </c>
      <c r="M100" s="219">
        <f>$L$56*F100</f>
        <v>3932.6213520520946</v>
      </c>
      <c r="N100" s="219">
        <f>$L$57*G100</f>
        <v>57.317275484640994</v>
      </c>
      <c r="O100" s="220">
        <f>$L$58*H100</f>
        <v>330.09915295872344</v>
      </c>
    </row>
    <row r="101" spans="1:15" ht="18.75">
      <c r="A101" s="420"/>
      <c r="B101" s="115" t="s">
        <v>74</v>
      </c>
      <c r="C101" s="125">
        <f>'II. Coeficientes Energía'!D22</f>
        <v>0.28055250405327797</v>
      </c>
      <c r="D101" s="125">
        <f>'II. Coeficientes Energía'!E22</f>
        <v>0.27732057059302528</v>
      </c>
      <c r="E101" s="125">
        <f>'II. Coeficientes Energía'!F22</f>
        <v>0.27445774827336156</v>
      </c>
      <c r="F101" s="125">
        <f>'II. Coeficientes Energía'!G22</f>
        <v>0.27589113229553869</v>
      </c>
      <c r="G101" s="130">
        <f>'II. Coeficientes Energía'!H22</f>
        <v>0.27822247173050896</v>
      </c>
      <c r="H101" s="135">
        <f>'II. Coeficientes Energía'!I22</f>
        <v>0.26075763211343356</v>
      </c>
      <c r="J101" s="218">
        <f>$L$53*C101</f>
        <v>32620.109861922705</v>
      </c>
      <c r="K101" s="219">
        <f>$L$54*D101</f>
        <v>30746.915146930918</v>
      </c>
      <c r="L101" s="219">
        <f>$L$55*E101</f>
        <v>21488.371564519934</v>
      </c>
      <c r="M101" s="219">
        <f>$L$56*F101</f>
        <v>13705.206252530876</v>
      </c>
      <c r="N101" s="219">
        <f>$L$57*G101</f>
        <v>200.30461151437294</v>
      </c>
      <c r="O101" s="220">
        <f>$L$58*H101</f>
        <v>1079.4526994220116</v>
      </c>
    </row>
    <row r="102" spans="1:15" ht="19.5" thickBot="1">
      <c r="A102" s="422"/>
      <c r="B102" s="117" t="s">
        <v>75</v>
      </c>
      <c r="C102" s="127">
        <f>'II. Coeficientes Energía'!D23</f>
        <v>0.50150957068931346</v>
      </c>
      <c r="D102" s="127">
        <f>'II. Coeficientes Energía'!E23</f>
        <v>0.49170928847764567</v>
      </c>
      <c r="E102" s="127">
        <f>'II. Coeficientes Energía'!F23</f>
        <v>0.47491143261703278</v>
      </c>
      <c r="F102" s="127">
        <f>'II. Coeficientes Energía'!G23</f>
        <v>0.46411118961107722</v>
      </c>
      <c r="G102" s="132">
        <f>'II. Coeficientes Energía'!H23</f>
        <v>0.45928539972657889</v>
      </c>
      <c r="H102" s="137">
        <f>'II. Coeficientes Energía'!I23</f>
        <v>0.44125186009558359</v>
      </c>
      <c r="J102" s="224">
        <f>$L$53*C102</f>
        <v>58311.000815677638</v>
      </c>
      <c r="K102" s="225">
        <f>$L$54*D102</f>
        <v>54516.488760463355</v>
      </c>
      <c r="L102" s="225">
        <f>$L$55*E102</f>
        <v>37182.675251525267</v>
      </c>
      <c r="M102" s="225">
        <f>$L$56*F102</f>
        <v>23055.2519930708</v>
      </c>
      <c r="N102" s="225">
        <f>$L$57*G102</f>
        <v>330.65978816968357</v>
      </c>
      <c r="O102" s="226">
        <f>$L$58*H102</f>
        <v>1826.6407301089432</v>
      </c>
    </row>
  </sheetData>
  <mergeCells count="17">
    <mergeCell ref="J9:J10"/>
    <mergeCell ref="A35:A36"/>
    <mergeCell ref="A51:A52"/>
    <mergeCell ref="A21:C21"/>
    <mergeCell ref="A22:C22"/>
    <mergeCell ref="A24:C24"/>
    <mergeCell ref="A25:C25"/>
    <mergeCell ref="A11:C11"/>
    <mergeCell ref="A12:C12"/>
    <mergeCell ref="A94:A97"/>
    <mergeCell ref="A98:A102"/>
    <mergeCell ref="A69:A70"/>
    <mergeCell ref="A71:A73"/>
    <mergeCell ref="A74:A77"/>
    <mergeCell ref="A78:A82"/>
    <mergeCell ref="A89:A90"/>
    <mergeCell ref="A91:A9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6:Q110"/>
  <sheetViews>
    <sheetView showGridLines="0" workbookViewId="0"/>
  </sheetViews>
  <sheetFormatPr baseColWidth="10" defaultRowHeight="12.75"/>
  <cols>
    <col min="2" max="2" width="14.140625" customWidth="1"/>
    <col min="3" max="3" width="12.7109375" customWidth="1"/>
    <col min="4" max="4" width="14.28515625" customWidth="1"/>
    <col min="5" max="5" width="13.28515625" customWidth="1"/>
    <col min="6" max="6" width="13.7109375" bestFit="1" customWidth="1"/>
    <col min="7" max="7" width="12.7109375" customWidth="1"/>
    <col min="8" max="8" width="2.28515625" customWidth="1"/>
    <col min="9" max="12" width="12.85546875" bestFit="1" customWidth="1"/>
    <col min="13" max="13" width="11.85546875" bestFit="1" customWidth="1"/>
    <col min="14" max="14" width="12.85546875" bestFit="1" customWidth="1"/>
    <col min="15" max="15" width="13.85546875" bestFit="1" customWidth="1"/>
    <col min="17" max="17" width="11.85546875" bestFit="1" customWidth="1"/>
  </cols>
  <sheetData>
    <row r="6" spans="1:17" ht="15">
      <c r="A6" s="167" t="s">
        <v>131</v>
      </c>
    </row>
    <row r="7" spans="1:17" ht="13.5" thickBot="1"/>
    <row r="8" spans="1:17" ht="25.5" customHeight="1" thickBot="1">
      <c r="B8" s="397" t="s">
        <v>112</v>
      </c>
      <c r="C8" s="243"/>
      <c r="D8" s="243"/>
      <c r="E8" s="243"/>
      <c r="F8" s="243"/>
      <c r="G8" s="244"/>
      <c r="I8" s="397" t="s">
        <v>113</v>
      </c>
      <c r="J8" s="243"/>
      <c r="K8" s="243"/>
      <c r="L8" s="243"/>
      <c r="M8" s="243"/>
      <c r="N8" s="244"/>
    </row>
    <row r="9" spans="1:17" ht="13.5" thickBot="1"/>
    <row r="10" spans="1:17" ht="24.95" customHeight="1">
      <c r="A10" s="433" t="s">
        <v>60</v>
      </c>
      <c r="B10" s="227" t="s">
        <v>121</v>
      </c>
      <c r="C10" s="227"/>
      <c r="D10" s="227"/>
      <c r="E10" s="227"/>
      <c r="F10" s="227"/>
      <c r="G10" s="228"/>
      <c r="I10" s="245" t="s">
        <v>121</v>
      </c>
      <c r="J10" s="227"/>
      <c r="K10" s="227"/>
      <c r="L10" s="227"/>
      <c r="M10" s="227"/>
      <c r="N10" s="228"/>
    </row>
    <row r="11" spans="1:17" ht="24.95" customHeight="1">
      <c r="A11" s="434"/>
      <c r="B11" s="229" t="s">
        <v>17</v>
      </c>
      <c r="C11" s="229" t="s">
        <v>18</v>
      </c>
      <c r="D11" s="229" t="s">
        <v>19</v>
      </c>
      <c r="E11" s="229" t="s">
        <v>20</v>
      </c>
      <c r="F11" s="229" t="s">
        <v>21</v>
      </c>
      <c r="G11" s="230" t="s">
        <v>22</v>
      </c>
      <c r="I11" s="246" t="s">
        <v>17</v>
      </c>
      <c r="J11" s="229" t="s">
        <v>18</v>
      </c>
      <c r="K11" s="229" t="s">
        <v>19</v>
      </c>
      <c r="L11" s="229" t="s">
        <v>20</v>
      </c>
      <c r="M11" s="229" t="s">
        <v>21</v>
      </c>
      <c r="N11" s="230" t="s">
        <v>22</v>
      </c>
    </row>
    <row r="12" spans="1:17" ht="15" customHeight="1">
      <c r="A12" s="233" t="s">
        <v>12</v>
      </c>
      <c r="B12" s="234">
        <f>'III. Metodología de asignación'!J82</f>
        <v>206271.7412780028</v>
      </c>
      <c r="C12" s="234">
        <f>'III. Metodología de asignación'!K82</f>
        <v>188798.28051789125</v>
      </c>
      <c r="D12" s="234">
        <f>'III. Metodología de asignación'!L82</f>
        <v>128477.20508952776</v>
      </c>
      <c r="E12" s="234">
        <f>'III. Metodología de asignación'!M82</f>
        <v>80573.111673841035</v>
      </c>
      <c r="F12" s="234">
        <f>'III. Metodología de asignación'!N82</f>
        <v>1100.3975369675022</v>
      </c>
      <c r="G12" s="235">
        <f>'III. Metodología de asignación'!O82</f>
        <v>6377.9979205762029</v>
      </c>
      <c r="I12" s="247">
        <f>'III. Metodología de asignación'!J102</f>
        <v>58311.000815677638</v>
      </c>
      <c r="J12" s="234">
        <f>'III. Metodología de asignación'!K102</f>
        <v>54516.488760463355</v>
      </c>
      <c r="K12" s="234">
        <f>'III. Metodología de asignación'!L102</f>
        <v>37182.675251525267</v>
      </c>
      <c r="L12" s="234">
        <f>'III. Metodología de asignación'!M102</f>
        <v>23055.2519930708</v>
      </c>
      <c r="M12" s="234">
        <f>'III. Metodología de asignación'!N102</f>
        <v>330.65978816968357</v>
      </c>
      <c r="N12" s="235">
        <f>'III. Metodología de asignación'!O102</f>
        <v>1826.6407301089432</v>
      </c>
      <c r="O12" s="300"/>
      <c r="P12" s="300"/>
      <c r="Q12" s="300"/>
    </row>
    <row r="13" spans="1:17" ht="15" customHeight="1">
      <c r="A13" s="236" t="s">
        <v>13</v>
      </c>
      <c r="B13" s="237">
        <f>'III. Metodología de asignación'!J81</f>
        <v>78571.680533288891</v>
      </c>
      <c r="C13" s="237">
        <f>'III. Metodología de asignación'!K81</f>
        <v>74689.089499338239</v>
      </c>
      <c r="D13" s="237">
        <f>'III. Metodología de asignación'!L81</f>
        <v>62996.381330376498</v>
      </c>
      <c r="E13" s="237">
        <f>'III. Metodología de asignación'!M81</f>
        <v>38927.742686688063</v>
      </c>
      <c r="F13" s="237">
        <f>'III. Metodología de asignación'!N81</f>
        <v>538.89715059062178</v>
      </c>
      <c r="G13" s="238">
        <f>'III. Metodología de asignación'!O81</f>
        <v>3066.1826022822588</v>
      </c>
      <c r="I13" s="248">
        <f>'III. Metodología de asignación'!J101</f>
        <v>32620.109861922705</v>
      </c>
      <c r="J13" s="237">
        <f>'III. Metodología de asignación'!K101</f>
        <v>30746.915146930918</v>
      </c>
      <c r="K13" s="237">
        <f>'III. Metodología de asignación'!L101</f>
        <v>21488.371564519934</v>
      </c>
      <c r="L13" s="237">
        <f>'III. Metodología de asignación'!M101</f>
        <v>13705.206252530876</v>
      </c>
      <c r="M13" s="237">
        <f>'III. Metodología de asignación'!N101</f>
        <v>200.30461151437294</v>
      </c>
      <c r="N13" s="238">
        <f>'III. Metodología de asignación'!O101</f>
        <v>1079.4526994220116</v>
      </c>
      <c r="O13" s="300"/>
      <c r="P13" s="300"/>
      <c r="Q13" s="300"/>
    </row>
    <row r="14" spans="1:17" ht="15" customHeight="1">
      <c r="A14" s="236" t="s">
        <v>14</v>
      </c>
      <c r="B14" s="237">
        <f>'III. Metodología de asignación'!J80</f>
        <v>23365.685082452743</v>
      </c>
      <c r="C14" s="237">
        <f>'III. Metodología de asignación'!K80</f>
        <v>21904.814017025867</v>
      </c>
      <c r="D14" s="237">
        <f>'III. Metodología de asignación'!L80</f>
        <v>16803.765913793184</v>
      </c>
      <c r="E14" s="237">
        <f>'III. Metodología de asignación'!M80</f>
        <v>10114.475488061622</v>
      </c>
      <c r="F14" s="237">
        <f>'III. Metodología de asignación'!N80</f>
        <v>151.44577346816752</v>
      </c>
      <c r="G14" s="238">
        <f>'III. Metodología de asignación'!O80</f>
        <v>939.64007827755097</v>
      </c>
      <c r="I14" s="248">
        <f>'III. Metodología de asignación'!J100</f>
        <v>9059.9915849793797</v>
      </c>
      <c r="J14" s="237">
        <f>'III. Metodología de asignación'!K100</f>
        <v>8719.40826294012</v>
      </c>
      <c r="K14" s="237">
        <f>'III. Metodología de asignación'!L100</f>
        <v>6137.0464947210185</v>
      </c>
      <c r="L14" s="237">
        <f>'III. Metodología de asignación'!M100</f>
        <v>3932.6213520520946</v>
      </c>
      <c r="M14" s="237">
        <f>'III. Metodología de asignación'!N100</f>
        <v>57.317275484640994</v>
      </c>
      <c r="N14" s="238">
        <f>'III. Metodología de asignación'!O100</f>
        <v>330.09915295872344</v>
      </c>
      <c r="O14" s="300"/>
      <c r="P14" s="300"/>
      <c r="Q14" s="300"/>
    </row>
    <row r="15" spans="1:17" ht="15" customHeight="1">
      <c r="A15" s="236" t="s">
        <v>15</v>
      </c>
      <c r="B15" s="237">
        <f>'III. Metodología de asignación'!J79</f>
        <v>9681.0826493361983</v>
      </c>
      <c r="C15" s="237">
        <f>'III. Metodología de asignación'!K79</f>
        <v>9727.1634348387452</v>
      </c>
      <c r="D15" s="237">
        <f>'III. Metodología de asignación'!L79</f>
        <v>8618.0636753549225</v>
      </c>
      <c r="E15" s="237">
        <f>'III. Metodología de asignación'!M79</f>
        <v>4818.0052197859986</v>
      </c>
      <c r="F15" s="237">
        <f>'III. Metodología de asignación'!N79</f>
        <v>71.783271521708073</v>
      </c>
      <c r="G15" s="238">
        <f>'III. Metodología de asignación'!O79</f>
        <v>436.41577492479729</v>
      </c>
      <c r="I15" s="248">
        <f>'III. Metodología de asignación'!J99</f>
        <v>3838.0594138986789</v>
      </c>
      <c r="J15" s="237">
        <f>'III. Metodología de asignación'!K99</f>
        <v>3893.9919146375132</v>
      </c>
      <c r="K15" s="237">
        <f>'III. Metodología de asignación'!L99</f>
        <v>2972.0529681089379</v>
      </c>
      <c r="L15" s="237">
        <f>'III. Metodología de asignación'!M99</f>
        <v>1956.9204233389412</v>
      </c>
      <c r="M15" s="237">
        <f>'III. Metodología de asignación'!N99</f>
        <v>28.439998962281141</v>
      </c>
      <c r="N15" s="238">
        <f>'III. Metodología de asignación'!O99</f>
        <v>214.29766660900194</v>
      </c>
      <c r="O15" s="300"/>
      <c r="P15" s="300"/>
      <c r="Q15" s="300"/>
    </row>
    <row r="16" spans="1:17" ht="15" customHeight="1" thickBot="1">
      <c r="A16" s="239" t="s">
        <v>16</v>
      </c>
      <c r="B16" s="240">
        <f>'III. Metodología de asignación'!J78</f>
        <v>30922.699922999753</v>
      </c>
      <c r="C16" s="240">
        <f>'III. Metodología de asignación'!K78</f>
        <v>37494.801000109415</v>
      </c>
      <c r="D16" s="240">
        <f>'III. Metodología de asignación'!L78</f>
        <v>17986.328445661151</v>
      </c>
      <c r="E16" s="240">
        <f>'III. Metodología de asignación'!M78</f>
        <v>14595.082102889795</v>
      </c>
      <c r="F16" s="240">
        <f>'III. Metodología de asignación'!N78</f>
        <v>297.30840036890703</v>
      </c>
      <c r="G16" s="241">
        <f>'III. Metodología de asignación'!O78</f>
        <v>1598.7983882113956</v>
      </c>
      <c r="I16" s="249">
        <f>'III. Metodología de asignación'!J98</f>
        <v>12441.801478881715</v>
      </c>
      <c r="J16" s="240">
        <f>'III. Metodología de asignación'!K98</f>
        <v>12994.578738095941</v>
      </c>
      <c r="K16" s="240">
        <f>'III. Metodología de asignación'!L98</f>
        <v>10513.768539362687</v>
      </c>
      <c r="L16" s="240">
        <f>'III. Metodología de asignación'!M98</f>
        <v>7026.139036096135</v>
      </c>
      <c r="M16" s="240">
        <f>'III. Metodología de asignación'!N98</f>
        <v>103.22237017465683</v>
      </c>
      <c r="N16" s="241">
        <f>'III. Metodología de asignación'!O98</f>
        <v>689.18800565872323</v>
      </c>
      <c r="O16" s="300"/>
      <c r="P16" s="300"/>
      <c r="Q16" s="300"/>
    </row>
    <row r="17" spans="1:17">
      <c r="B17" s="300"/>
      <c r="C17" s="300"/>
      <c r="D17" s="300"/>
      <c r="E17" s="300"/>
      <c r="F17" s="300"/>
      <c r="G17" s="300"/>
      <c r="N17" s="300"/>
      <c r="O17" s="300"/>
      <c r="P17" s="300"/>
      <c r="Q17" s="300"/>
    </row>
    <row r="18" spans="1:17" ht="13.5" thickBot="1"/>
    <row r="19" spans="1:17" ht="24" customHeight="1">
      <c r="A19" s="433" t="s">
        <v>60</v>
      </c>
      <c r="B19" s="227" t="s">
        <v>122</v>
      </c>
      <c r="C19" s="227"/>
      <c r="D19" s="227"/>
      <c r="E19" s="227"/>
      <c r="F19" s="227"/>
      <c r="G19" s="228"/>
      <c r="I19" s="245" t="s">
        <v>130</v>
      </c>
      <c r="J19" s="227"/>
      <c r="K19" s="227"/>
      <c r="L19" s="227"/>
      <c r="M19" s="227"/>
      <c r="N19" s="228"/>
    </row>
    <row r="20" spans="1:17" ht="24" customHeight="1">
      <c r="A20" s="434"/>
      <c r="B20" s="229" t="s">
        <v>17</v>
      </c>
      <c r="C20" s="229" t="s">
        <v>18</v>
      </c>
      <c r="D20" s="229" t="s">
        <v>19</v>
      </c>
      <c r="E20" s="229" t="s">
        <v>20</v>
      </c>
      <c r="F20" s="229" t="s">
        <v>21</v>
      </c>
      <c r="G20" s="230" t="s">
        <v>22</v>
      </c>
      <c r="I20" s="246" t="s">
        <v>17</v>
      </c>
      <c r="J20" s="229" t="s">
        <v>18</v>
      </c>
      <c r="K20" s="229" t="s">
        <v>19</v>
      </c>
      <c r="L20" s="229" t="s">
        <v>20</v>
      </c>
      <c r="M20" s="229" t="s">
        <v>21</v>
      </c>
      <c r="N20" s="230" t="s">
        <v>22</v>
      </c>
    </row>
    <row r="21" spans="1:17" ht="15" customHeight="1">
      <c r="A21" s="233" t="s">
        <v>12</v>
      </c>
      <c r="B21" s="234">
        <f>'I. Datos de entrada'!C116+'I. Datos de entrada'!C117</f>
        <v>141040.75005213538</v>
      </c>
      <c r="C21" s="234">
        <f>'I. Datos de entrada'!D116+'I. Datos de entrada'!D117</f>
        <v>143080.16764411132</v>
      </c>
      <c r="D21" s="234">
        <f>'I. Datos de entrada'!E116+'I. Datos de entrada'!E117</f>
        <v>143102.32448937025</v>
      </c>
      <c r="E21" s="234">
        <f>'I. Datos de entrada'!F116+'I. Datos de entrada'!F117</f>
        <v>143102.32448937025</v>
      </c>
      <c r="F21" s="234">
        <f>'I. Datos de entrada'!G116+'I. Datos de entrada'!G117</f>
        <v>143102.32448937025</v>
      </c>
      <c r="G21" s="235">
        <f>'I. Datos de entrada'!H116+'I. Datos de entrada'!H117</f>
        <v>143140.07584577607</v>
      </c>
      <c r="I21" s="247">
        <f>('I. Datos de entrada'!C101+'I. Datos de entrada'!C102)*1000</f>
        <v>13141153.088914406</v>
      </c>
      <c r="J21" s="234">
        <f>('I. Datos de entrada'!D101+'I. Datos de entrada'!D102)*1000</f>
        <v>15596075.660821898</v>
      </c>
      <c r="K21" s="234">
        <f>('I. Datos de entrada'!E101+'I. Datos de entrada'!E102)*1000</f>
        <v>12879467.416340977</v>
      </c>
      <c r="L21" s="234">
        <f>('I. Datos de entrada'!F101+'I. Datos de entrada'!F102)*1000</f>
        <v>14742915.979607951</v>
      </c>
      <c r="M21" s="234">
        <f>('I. Datos de entrada'!G101+'I. Datos de entrada'!G102)*1000</f>
        <v>6012001.2000848316</v>
      </c>
      <c r="N21" s="235">
        <f>('I. Datos de entrada'!H101+'I. Datos de entrada'!H102)*1000</f>
        <v>51088494.196258441</v>
      </c>
      <c r="O21" s="300"/>
    </row>
    <row r="22" spans="1:17" ht="15" customHeight="1">
      <c r="A22" s="236" t="s">
        <v>13</v>
      </c>
      <c r="B22" s="237">
        <f>'I. Datos de entrada'!C118</f>
        <v>17510.132456305215</v>
      </c>
      <c r="C22" s="237">
        <f>'I. Datos de entrada'!D118</f>
        <v>18456.98973829022</v>
      </c>
      <c r="D22" s="237">
        <f>'I. Datos de entrada'!E118</f>
        <v>19464.845827412613</v>
      </c>
      <c r="E22" s="237">
        <f>'I. Datos de entrada'!F118</f>
        <v>19561.112087931368</v>
      </c>
      <c r="F22" s="237">
        <f>'I. Datos de entrada'!G118</f>
        <v>19698.13930389845</v>
      </c>
      <c r="G22" s="238">
        <f>'I. Datos de entrada'!H118</f>
        <v>25284.779973840949</v>
      </c>
      <c r="I22" s="248">
        <f>'I. Datos de entrada'!C103*1000</f>
        <v>7468347.1846854687</v>
      </c>
      <c r="J22" s="237">
        <f>'I. Datos de entrada'!D103*1000</f>
        <v>8948896.783511024</v>
      </c>
      <c r="K22" s="237">
        <f>'I. Datos de entrada'!E103*1000</f>
        <v>8472232.0976786017</v>
      </c>
      <c r="L22" s="237">
        <f>'I. Datos de entrada'!F103*1000</f>
        <v>9871515.8633370809</v>
      </c>
      <c r="M22" s="237">
        <f>'I. Datos de entrada'!G103*1000</f>
        <v>4084245.1306626666</v>
      </c>
      <c r="N22" s="238">
        <f>'I. Datos de entrada'!H103*1000</f>
        <v>32492983.797259867</v>
      </c>
      <c r="O22" s="300"/>
    </row>
    <row r="23" spans="1:17" ht="15" customHeight="1">
      <c r="A23" s="236" t="s">
        <v>14</v>
      </c>
      <c r="B23" s="237">
        <f>'I. Datos de entrada'!C119</f>
        <v>4183.3316944857024</v>
      </c>
      <c r="C23" s="237">
        <f>'I. Datos de entrada'!D119</f>
        <v>4347.9986957044421</v>
      </c>
      <c r="D23" s="237">
        <f>'I. Datos de entrada'!E119</f>
        <v>4395.5410423346093</v>
      </c>
      <c r="E23" s="237">
        <f>'I. Datos de entrada'!F119</f>
        <v>4422.375830001577</v>
      </c>
      <c r="F23" s="237">
        <f>'I. Datos de entrada'!G119</f>
        <v>4456.8615332976051</v>
      </c>
      <c r="G23" s="238">
        <f>'I. Datos de entrada'!H119</f>
        <v>5899.0255156321273</v>
      </c>
      <c r="I23" s="248">
        <f>'I. Datos de entrada'!C104*1000</f>
        <v>2101879.1657405221</v>
      </c>
      <c r="J23" s="237">
        <f>'I. Datos de entrada'!D104*1000</f>
        <v>2704866.4427607879</v>
      </c>
      <c r="K23" s="237">
        <f>'I. Datos de entrada'!E104*1000</f>
        <v>2457739.9532876047</v>
      </c>
      <c r="L23" s="237">
        <f>'I. Datos de entrada'!F104*1000</f>
        <v>2923272.793283646</v>
      </c>
      <c r="M23" s="237">
        <f>'I. Datos de entrada'!G104*1000</f>
        <v>1287988.1585809726</v>
      </c>
      <c r="N23" s="238">
        <f>'I. Datos de entrada'!H104*1000</f>
        <v>11629729.831677111</v>
      </c>
      <c r="O23" s="300"/>
    </row>
    <row r="24" spans="1:17" ht="15" customHeight="1">
      <c r="A24" s="236" t="s">
        <v>15</v>
      </c>
      <c r="B24" s="237">
        <f>'I. Datos de entrada'!C120</f>
        <v>1669.9463366666669</v>
      </c>
      <c r="C24" s="237">
        <f>'I. Datos de entrada'!D120</f>
        <v>1768.1050016666668</v>
      </c>
      <c r="D24" s="237">
        <f>'I. Datos de entrada'!E120</f>
        <v>1787.6421758333333</v>
      </c>
      <c r="E24" s="237">
        <f>'I. Datos de entrada'!F120</f>
        <v>1862.4063808333333</v>
      </c>
      <c r="F24" s="237">
        <f>'I. Datos de entrada'!G120</f>
        <v>1889.0118641666668</v>
      </c>
      <c r="G24" s="238">
        <f>'I. Datos de entrada'!H120</f>
        <v>2368.7178866666663</v>
      </c>
      <c r="I24" s="248">
        <f>'I. Datos de entrada'!C105*1000</f>
        <v>790556.14979970583</v>
      </c>
      <c r="J24" s="237">
        <f>'I. Datos de entrada'!D105*1000</f>
        <v>1038579.1062729738</v>
      </c>
      <c r="K24" s="237">
        <f>'I. Datos de entrada'!E105*1000</f>
        <v>991339.91261651611</v>
      </c>
      <c r="L24" s="237">
        <f>'I. Datos de entrada'!F105*1000</f>
        <v>1201607.3963746678</v>
      </c>
      <c r="M24" s="237">
        <f>'I. Datos de entrada'!G105*1000</f>
        <v>529284.94387285749</v>
      </c>
      <c r="N24" s="238">
        <f>'I. Datos de entrada'!H105*1000</f>
        <v>5459140.5518982243</v>
      </c>
      <c r="O24" s="300"/>
    </row>
    <row r="25" spans="1:17" ht="15" customHeight="1" thickBot="1">
      <c r="A25" s="239" t="s">
        <v>16</v>
      </c>
      <c r="B25" s="240">
        <f>'I. Datos de entrada'!C121</f>
        <v>3582.8425404093214</v>
      </c>
      <c r="C25" s="240">
        <f>'I. Datos de entrada'!D121</f>
        <v>3806.8606302146623</v>
      </c>
      <c r="D25" s="240">
        <f>'I. Datos de entrada'!E121</f>
        <v>4001.8944810373905</v>
      </c>
      <c r="E25" s="240">
        <f>'I. Datos de entrada'!F121</f>
        <v>4123.8227338844481</v>
      </c>
      <c r="F25" s="240">
        <f>'I. Datos de entrada'!G121</f>
        <v>4265.5908366108406</v>
      </c>
      <c r="G25" s="241">
        <f>'I. Datos de entrada'!H121</f>
        <v>5020.1609718263144</v>
      </c>
      <c r="I25" s="249">
        <f>'I. Datos de entrada'!C106*1000</f>
        <v>1804254.7098952557</v>
      </c>
      <c r="J25" s="240">
        <f>'I. Datos de entrada'!D106*1000</f>
        <v>2436647.7854317809</v>
      </c>
      <c r="K25" s="240">
        <f>'I. Datos de entrada'!E106*1000</f>
        <v>2291509.5370804761</v>
      </c>
      <c r="L25" s="240">
        <f>'I. Datos de entrada'!F106*1000</f>
        <v>2808179.8028088505</v>
      </c>
      <c r="M25" s="240">
        <f>'I. Datos de entrada'!G106*1000</f>
        <v>1279324.5004632412</v>
      </c>
      <c r="N25" s="241">
        <f>'I. Datos de entrada'!H106*1000</f>
        <v>13846042.498536294</v>
      </c>
      <c r="O25" s="300"/>
    </row>
    <row r="26" spans="1:17">
      <c r="A26" s="231"/>
      <c r="B26" s="232"/>
      <c r="C26" s="232"/>
      <c r="D26" s="232"/>
      <c r="E26" s="232"/>
      <c r="F26" s="232"/>
      <c r="G26" s="232"/>
      <c r="I26" s="232"/>
      <c r="J26" s="232"/>
      <c r="K26" s="232"/>
      <c r="L26" s="232"/>
      <c r="M26" s="232"/>
      <c r="N26" s="232"/>
    </row>
    <row r="27" spans="1:17" ht="13.5" thickBot="1">
      <c r="A27" s="139"/>
      <c r="B27" s="139"/>
      <c r="C27" s="139"/>
      <c r="D27" s="139"/>
      <c r="E27" s="139"/>
      <c r="F27" s="139"/>
      <c r="G27" s="139"/>
      <c r="I27" s="139"/>
      <c r="J27" s="139"/>
      <c r="K27" s="139"/>
      <c r="L27" s="139"/>
      <c r="M27" s="139"/>
      <c r="N27" s="139"/>
    </row>
    <row r="28" spans="1:17" ht="24" customHeight="1">
      <c r="A28" s="433" t="s">
        <v>60</v>
      </c>
      <c r="B28" s="227" t="s">
        <v>123</v>
      </c>
      <c r="C28" s="227"/>
      <c r="D28" s="227"/>
      <c r="E28" s="227"/>
      <c r="F28" s="227"/>
      <c r="G28" s="228"/>
      <c r="I28" s="245" t="s">
        <v>129</v>
      </c>
      <c r="J28" s="227"/>
      <c r="K28" s="227"/>
      <c r="L28" s="227"/>
      <c r="M28" s="227"/>
      <c r="N28" s="228"/>
    </row>
    <row r="29" spans="1:17" ht="24" customHeight="1">
      <c r="A29" s="434"/>
      <c r="B29" s="229" t="s">
        <v>17</v>
      </c>
      <c r="C29" s="229" t="s">
        <v>18</v>
      </c>
      <c r="D29" s="229" t="s">
        <v>19</v>
      </c>
      <c r="E29" s="229" t="s">
        <v>20</v>
      </c>
      <c r="F29" s="229" t="s">
        <v>21</v>
      </c>
      <c r="G29" s="230" t="s">
        <v>22</v>
      </c>
      <c r="I29" s="246" t="s">
        <v>17</v>
      </c>
      <c r="J29" s="229" t="s">
        <v>18</v>
      </c>
      <c r="K29" s="229" t="s">
        <v>19</v>
      </c>
      <c r="L29" s="229" t="s">
        <v>20</v>
      </c>
      <c r="M29" s="229" t="s">
        <v>21</v>
      </c>
      <c r="N29" s="230" t="s">
        <v>22</v>
      </c>
    </row>
    <row r="30" spans="1:17" ht="15" customHeight="1">
      <c r="A30" s="233" t="s">
        <v>12</v>
      </c>
      <c r="B30" s="284">
        <f t="shared" ref="B30:G34" si="0">B12/B21</f>
        <v>1.4624974782235272</v>
      </c>
      <c r="C30" s="284">
        <f t="shared" si="0"/>
        <v>1.3195279515431957</v>
      </c>
      <c r="D30" s="284">
        <f t="shared" si="0"/>
        <v>0.89779956788242909</v>
      </c>
      <c r="E30" s="284">
        <f t="shared" si="0"/>
        <v>0.56304544291190783</v>
      </c>
      <c r="F30" s="284">
        <f t="shared" si="0"/>
        <v>7.6895853431733783E-3</v>
      </c>
      <c r="G30" s="285">
        <f t="shared" si="0"/>
        <v>4.4557737467235049E-2</v>
      </c>
      <c r="I30" s="291">
        <f t="shared" ref="I30:N34" si="1">I12/I21</f>
        <v>4.4372819052589489E-3</v>
      </c>
      <c r="J30" s="292">
        <f t="shared" si="1"/>
        <v>3.495526050659746E-3</v>
      </c>
      <c r="K30" s="292">
        <f t="shared" si="1"/>
        <v>2.8869730439590466E-3</v>
      </c>
      <c r="L30" s="292">
        <f t="shared" si="1"/>
        <v>1.5638189910978449E-3</v>
      </c>
      <c r="M30" s="292">
        <f t="shared" si="1"/>
        <v>5.4999953786605671E-5</v>
      </c>
      <c r="N30" s="293">
        <f t="shared" si="1"/>
        <v>3.5754444495698614E-5</v>
      </c>
    </row>
    <row r="31" spans="1:17" ht="15" customHeight="1">
      <c r="A31" s="236" t="s">
        <v>13</v>
      </c>
      <c r="B31" s="286">
        <f t="shared" si="0"/>
        <v>4.4872122315097656</v>
      </c>
      <c r="C31" s="286">
        <f t="shared" si="0"/>
        <v>4.046656066801126</v>
      </c>
      <c r="D31" s="286">
        <f t="shared" si="0"/>
        <v>3.2364182017644247</v>
      </c>
      <c r="E31" s="286">
        <f t="shared" si="0"/>
        <v>1.9900577488488163</v>
      </c>
      <c r="F31" s="286">
        <f t="shared" si="0"/>
        <v>2.7357769293669728E-2</v>
      </c>
      <c r="G31" s="287">
        <f t="shared" si="0"/>
        <v>0.12126593964647747</v>
      </c>
      <c r="I31" s="294">
        <f t="shared" si="1"/>
        <v>4.3677816597510674E-3</v>
      </c>
      <c r="J31" s="295">
        <f t="shared" si="1"/>
        <v>3.4358330295622907E-3</v>
      </c>
      <c r="K31" s="295">
        <f t="shared" si="1"/>
        <v>2.536329424970282E-3</v>
      </c>
      <c r="L31" s="295">
        <f t="shared" si="1"/>
        <v>1.3883588338678727E-3</v>
      </c>
      <c r="M31" s="295">
        <f t="shared" si="1"/>
        <v>4.9043239351765748E-5</v>
      </c>
      <c r="N31" s="296">
        <f t="shared" si="1"/>
        <v>3.3221101089307836E-5</v>
      </c>
    </row>
    <row r="32" spans="1:17" ht="15" customHeight="1">
      <c r="A32" s="236" t="s">
        <v>14</v>
      </c>
      <c r="B32" s="286">
        <f t="shared" si="0"/>
        <v>5.5854249169991563</v>
      </c>
      <c r="C32" s="286">
        <f t="shared" si="0"/>
        <v>5.037907218938793</v>
      </c>
      <c r="D32" s="286">
        <f t="shared" si="0"/>
        <v>3.8229118445150903</v>
      </c>
      <c r="E32" s="286">
        <f t="shared" si="0"/>
        <v>2.2871135056963294</v>
      </c>
      <c r="F32" s="286">
        <f t="shared" si="0"/>
        <v>3.3980363162890027E-2</v>
      </c>
      <c r="G32" s="287">
        <f t="shared" si="0"/>
        <v>0.15928733920332283</v>
      </c>
      <c r="I32" s="294">
        <f t="shared" si="1"/>
        <v>4.3104245632442978E-3</v>
      </c>
      <c r="J32" s="295">
        <f t="shared" si="1"/>
        <v>3.2236002950446763E-3</v>
      </c>
      <c r="K32" s="295">
        <f t="shared" si="1"/>
        <v>2.4970284128358559E-3</v>
      </c>
      <c r="L32" s="295">
        <f t="shared" si="1"/>
        <v>1.3452803176930573E-3</v>
      </c>
      <c r="M32" s="295">
        <f t="shared" si="1"/>
        <v>4.4501399413322017E-5</v>
      </c>
      <c r="N32" s="296">
        <f t="shared" si="1"/>
        <v>2.8384077509659584E-5</v>
      </c>
    </row>
    <row r="33" spans="1:14" ht="15" customHeight="1">
      <c r="A33" s="236" t="s">
        <v>15</v>
      </c>
      <c r="B33" s="286">
        <f t="shared" si="0"/>
        <v>5.7972417656607673</v>
      </c>
      <c r="C33" s="286">
        <f t="shared" si="0"/>
        <v>5.5014625407821596</v>
      </c>
      <c r="D33" s="286">
        <f t="shared" si="0"/>
        <v>4.8209109137501169</v>
      </c>
      <c r="E33" s="286">
        <f t="shared" si="0"/>
        <v>2.5869784754658021</v>
      </c>
      <c r="F33" s="286">
        <f t="shared" si="0"/>
        <v>3.800043445114893E-2</v>
      </c>
      <c r="G33" s="287">
        <f t="shared" si="0"/>
        <v>0.1842413473471656</v>
      </c>
      <c r="I33" s="294">
        <f t="shared" si="1"/>
        <v>4.8548852790166568E-3</v>
      </c>
      <c r="J33" s="295">
        <f t="shared" si="1"/>
        <v>3.74934551553942E-3</v>
      </c>
      <c r="K33" s="295">
        <f t="shared" si="1"/>
        <v>2.9980160490709795E-3</v>
      </c>
      <c r="L33" s="295">
        <f t="shared" si="1"/>
        <v>1.6285855340463988E-3</v>
      </c>
      <c r="M33" s="295">
        <f t="shared" si="1"/>
        <v>5.3732869773663682E-5</v>
      </c>
      <c r="N33" s="296">
        <f t="shared" si="1"/>
        <v>3.9254835916339878E-5</v>
      </c>
    </row>
    <row r="34" spans="1:14" ht="15" customHeight="1" thickBot="1">
      <c r="A34" s="239" t="s">
        <v>16</v>
      </c>
      <c r="B34" s="288">
        <f t="shared" si="0"/>
        <v>8.6307727940137138</v>
      </c>
      <c r="C34" s="288">
        <f t="shared" si="0"/>
        <v>9.8492707357125262</v>
      </c>
      <c r="D34" s="288">
        <f t="shared" si="0"/>
        <v>4.4944534472079951</v>
      </c>
      <c r="E34" s="288">
        <f t="shared" si="0"/>
        <v>3.5392118053391473</v>
      </c>
      <c r="F34" s="288">
        <f t="shared" si="0"/>
        <v>6.969923083507204E-2</v>
      </c>
      <c r="G34" s="289">
        <f t="shared" si="0"/>
        <v>0.31847552243524158</v>
      </c>
      <c r="I34" s="297">
        <f t="shared" si="1"/>
        <v>6.8958121104774677E-3</v>
      </c>
      <c r="J34" s="298">
        <f t="shared" si="1"/>
        <v>5.3329737747851253E-3</v>
      </c>
      <c r="K34" s="298">
        <f t="shared" si="1"/>
        <v>4.5881408605254479E-3</v>
      </c>
      <c r="L34" s="298">
        <f t="shared" si="1"/>
        <v>2.5020260558345723E-3</v>
      </c>
      <c r="M34" s="298">
        <f t="shared" si="1"/>
        <v>8.0685056947850357E-5</v>
      </c>
      <c r="N34" s="299">
        <f t="shared" si="1"/>
        <v>4.9775089577514972E-5</v>
      </c>
    </row>
    <row r="35" spans="1:14">
      <c r="B35" s="395"/>
      <c r="C35" s="395"/>
      <c r="D35" s="395"/>
      <c r="E35" s="395"/>
      <c r="F35" s="395"/>
      <c r="G35" s="395"/>
    </row>
    <row r="36" spans="1:14">
      <c r="D36" s="300"/>
      <c r="E36" s="301"/>
      <c r="F36" s="302"/>
      <c r="I36" s="300"/>
      <c r="J36" s="273"/>
      <c r="K36" s="128"/>
    </row>
    <row r="37" spans="1:14" ht="15">
      <c r="A37" s="290" t="s">
        <v>132</v>
      </c>
      <c r="B37" s="274"/>
      <c r="C37" s="53"/>
    </row>
    <row r="38" spans="1:14" ht="13.5" thickBot="1">
      <c r="A38" s="272"/>
      <c r="B38" s="274"/>
      <c r="C38" s="53"/>
    </row>
    <row r="39" spans="1:14" ht="18" customHeight="1">
      <c r="A39" s="433" t="s">
        <v>60</v>
      </c>
      <c r="B39" s="227" t="s">
        <v>112</v>
      </c>
      <c r="C39" s="227"/>
      <c r="D39" s="227"/>
      <c r="E39" s="227"/>
      <c r="F39" s="227"/>
      <c r="G39" s="228"/>
      <c r="I39" s="245" t="s">
        <v>113</v>
      </c>
      <c r="J39" s="227"/>
      <c r="K39" s="227"/>
      <c r="L39" s="227"/>
      <c r="M39" s="227"/>
      <c r="N39" s="228"/>
    </row>
    <row r="40" spans="1:14" ht="18" customHeight="1">
      <c r="A40" s="434"/>
      <c r="B40" s="229" t="s">
        <v>17</v>
      </c>
      <c r="C40" s="229" t="s">
        <v>18</v>
      </c>
      <c r="D40" s="229" t="s">
        <v>19</v>
      </c>
      <c r="E40" s="229" t="s">
        <v>20</v>
      </c>
      <c r="F40" s="229" t="s">
        <v>21</v>
      </c>
      <c r="G40" s="230" t="s">
        <v>22</v>
      </c>
      <c r="I40" s="246" t="s">
        <v>17</v>
      </c>
      <c r="J40" s="229" t="s">
        <v>18</v>
      </c>
      <c r="K40" s="229" t="s">
        <v>19</v>
      </c>
      <c r="L40" s="229" t="s">
        <v>20</v>
      </c>
      <c r="M40" s="229" t="s">
        <v>21</v>
      </c>
      <c r="N40" s="230" t="s">
        <v>22</v>
      </c>
    </row>
    <row r="41" spans="1:14" ht="15" customHeight="1">
      <c r="A41" s="233" t="s">
        <v>12</v>
      </c>
      <c r="B41" s="275">
        <f>B30/$G30</f>
        <v>32.822525589387375</v>
      </c>
      <c r="C41" s="275">
        <f t="shared" ref="C41:G41" si="2">C30/$G30</f>
        <v>29.61389034875241</v>
      </c>
      <c r="D41" s="275">
        <f t="shared" si="2"/>
        <v>20.149128275254423</v>
      </c>
      <c r="E41" s="275">
        <f t="shared" si="2"/>
        <v>12.636311332592593</v>
      </c>
      <c r="F41" s="275">
        <f t="shared" si="2"/>
        <v>0.17257575856107626</v>
      </c>
      <c r="G41" s="278">
        <f t="shared" si="2"/>
        <v>1</v>
      </c>
      <c r="I41" s="277">
        <f>I30/$N30</f>
        <v>124.10434472818532</v>
      </c>
      <c r="J41" s="275">
        <f t="shared" ref="J41:N41" si="3">J30/$N30</f>
        <v>97.764798193977541</v>
      </c>
      <c r="K41" s="275">
        <f t="shared" si="3"/>
        <v>80.744452463982753</v>
      </c>
      <c r="L41" s="275">
        <f t="shared" si="3"/>
        <v>43.737751016827509</v>
      </c>
      <c r="M41" s="275">
        <f t="shared" si="3"/>
        <v>1.538269005779753</v>
      </c>
      <c r="N41" s="278">
        <f t="shared" si="3"/>
        <v>1</v>
      </c>
    </row>
    <row r="42" spans="1:14" ht="15" customHeight="1">
      <c r="A42" s="236" t="s">
        <v>13</v>
      </c>
      <c r="B42" s="276">
        <f t="shared" ref="B42:G42" si="4">B31/$G31</f>
        <v>37.003071469129623</v>
      </c>
      <c r="C42" s="276">
        <f t="shared" si="4"/>
        <v>33.370096158890178</v>
      </c>
      <c r="D42" s="276">
        <f t="shared" si="4"/>
        <v>26.688600370387977</v>
      </c>
      <c r="E42" s="276">
        <f t="shared" si="4"/>
        <v>16.410690047431</v>
      </c>
      <c r="F42" s="276">
        <f t="shared" si="4"/>
        <v>0.22560142916819773</v>
      </c>
      <c r="G42" s="280">
        <f t="shared" si="4"/>
        <v>1</v>
      </c>
      <c r="I42" s="279">
        <f t="shared" ref="I42:N42" si="5">I31/$N31</f>
        <v>131.47612561092478</v>
      </c>
      <c r="J42" s="276">
        <f t="shared" si="5"/>
        <v>103.42321346682</v>
      </c>
      <c r="K42" s="276">
        <f t="shared" si="5"/>
        <v>76.346940402484009</v>
      </c>
      <c r="L42" s="276">
        <f t="shared" si="5"/>
        <v>41.79147554849451</v>
      </c>
      <c r="M42" s="276">
        <f t="shared" si="5"/>
        <v>1.4762677257422465</v>
      </c>
      <c r="N42" s="280">
        <f t="shared" si="5"/>
        <v>1</v>
      </c>
    </row>
    <row r="43" spans="1:14" ht="15" customHeight="1">
      <c r="A43" s="236" t="s">
        <v>14</v>
      </c>
      <c r="B43" s="276">
        <f t="shared" ref="B43:G43" si="6">B32/$G32</f>
        <v>35.065090200732293</v>
      </c>
      <c r="C43" s="276">
        <f t="shared" si="6"/>
        <v>31.627794425695946</v>
      </c>
      <c r="D43" s="276">
        <f t="shared" si="6"/>
        <v>24.000098586839488</v>
      </c>
      <c r="E43" s="276">
        <f t="shared" si="6"/>
        <v>14.358413651300536</v>
      </c>
      <c r="F43" s="276">
        <f t="shared" si="6"/>
        <v>0.21332745799410766</v>
      </c>
      <c r="G43" s="280">
        <f t="shared" si="6"/>
        <v>1</v>
      </c>
      <c r="I43" s="279">
        <f t="shared" ref="I43:N43" si="7">I32/$N32</f>
        <v>151.86065362798516</v>
      </c>
      <c r="J43" s="276">
        <f t="shared" si="7"/>
        <v>113.57072619138776</v>
      </c>
      <c r="K43" s="276">
        <f t="shared" si="7"/>
        <v>87.972857739909799</v>
      </c>
      <c r="L43" s="276">
        <f t="shared" si="7"/>
        <v>47.39559766334613</v>
      </c>
      <c r="M43" s="276">
        <f t="shared" si="7"/>
        <v>1.5678296889577417</v>
      </c>
      <c r="N43" s="280">
        <f t="shared" si="7"/>
        <v>1</v>
      </c>
    </row>
    <row r="44" spans="1:14" ht="15" customHeight="1">
      <c r="A44" s="236" t="s">
        <v>15</v>
      </c>
      <c r="B44" s="276">
        <f t="shared" ref="B44:G44" si="8">B33/$G33</f>
        <v>31.465476393510283</v>
      </c>
      <c r="C44" s="276">
        <f t="shared" si="8"/>
        <v>29.86008634867267</v>
      </c>
      <c r="D44" s="276">
        <f t="shared" si="8"/>
        <v>26.166281256433084</v>
      </c>
      <c r="E44" s="276">
        <f t="shared" si="8"/>
        <v>14.041248138460276</v>
      </c>
      <c r="F44" s="276">
        <f t="shared" si="8"/>
        <v>0.20625356359093916</v>
      </c>
      <c r="G44" s="280">
        <f t="shared" si="8"/>
        <v>1</v>
      </c>
      <c r="I44" s="279">
        <f t="shared" ref="I44:N44" si="9">I33/$N33</f>
        <v>123.67610679518353</v>
      </c>
      <c r="J44" s="276">
        <f t="shared" si="9"/>
        <v>95.512958544268173</v>
      </c>
      <c r="K44" s="276">
        <f t="shared" si="9"/>
        <v>76.373164709193233</v>
      </c>
      <c r="L44" s="276">
        <f t="shared" si="9"/>
        <v>41.48751347521231</v>
      </c>
      <c r="M44" s="276">
        <f t="shared" si="9"/>
        <v>1.3688216628437697</v>
      </c>
      <c r="N44" s="280">
        <f t="shared" si="9"/>
        <v>1</v>
      </c>
    </row>
    <row r="45" spans="1:14" ht="15" customHeight="1" thickBot="1">
      <c r="A45" s="239" t="s">
        <v>16</v>
      </c>
      <c r="B45" s="282">
        <f t="shared" ref="B45:G45" si="10">B34/$G34</f>
        <v>27.100270463544604</v>
      </c>
      <c r="C45" s="282">
        <f t="shared" si="10"/>
        <v>30.926303724692893</v>
      </c>
      <c r="D45" s="282">
        <f t="shared" si="10"/>
        <v>14.112398381014955</v>
      </c>
      <c r="E45" s="282">
        <f t="shared" si="10"/>
        <v>11.11297903925664</v>
      </c>
      <c r="F45" s="282">
        <f t="shared" si="10"/>
        <v>0.21885270899977752</v>
      </c>
      <c r="G45" s="283">
        <f t="shared" si="10"/>
        <v>1</v>
      </c>
      <c r="I45" s="281">
        <f t="shared" ref="I45:N45" si="11">I34/$N34</f>
        <v>138.53942140553235</v>
      </c>
      <c r="J45" s="282">
        <f t="shared" si="11"/>
        <v>107.14141993617231</v>
      </c>
      <c r="K45" s="282">
        <f t="shared" si="11"/>
        <v>92.177450597659202</v>
      </c>
      <c r="L45" s="282">
        <f t="shared" si="11"/>
        <v>50.266630900546261</v>
      </c>
      <c r="M45" s="282">
        <f t="shared" si="11"/>
        <v>1.6209927020261641</v>
      </c>
      <c r="N45" s="283">
        <f t="shared" si="11"/>
        <v>1</v>
      </c>
    </row>
    <row r="67" spans="1:14" ht="15">
      <c r="A67" s="290" t="s">
        <v>133</v>
      </c>
      <c r="B67" s="274"/>
      <c r="C67" s="53"/>
    </row>
    <row r="68" spans="1:14" ht="13.5" thickBot="1">
      <c r="A68" s="272"/>
      <c r="B68" s="274"/>
      <c r="C68" s="53"/>
    </row>
    <row r="69" spans="1:14" ht="18" customHeight="1">
      <c r="A69" s="433" t="s">
        <v>60</v>
      </c>
      <c r="B69" s="227" t="s">
        <v>112</v>
      </c>
      <c r="C69" s="227"/>
      <c r="D69" s="227"/>
      <c r="E69" s="227"/>
      <c r="F69" s="227"/>
      <c r="G69" s="228"/>
      <c r="I69" s="245" t="s">
        <v>113</v>
      </c>
      <c r="J69" s="227"/>
      <c r="K69" s="227"/>
      <c r="L69" s="227"/>
      <c r="M69" s="227"/>
      <c r="N69" s="228"/>
    </row>
    <row r="70" spans="1:14" ht="18" customHeight="1">
      <c r="A70" s="434"/>
      <c r="B70" s="229" t="s">
        <v>17</v>
      </c>
      <c r="C70" s="229" t="s">
        <v>18</v>
      </c>
      <c r="D70" s="229" t="s">
        <v>19</v>
      </c>
      <c r="E70" s="229" t="s">
        <v>20</v>
      </c>
      <c r="F70" s="229" t="s">
        <v>21</v>
      </c>
      <c r="G70" s="230" t="s">
        <v>22</v>
      </c>
      <c r="I70" s="246" t="s">
        <v>17</v>
      </c>
      <c r="J70" s="229" t="s">
        <v>18</v>
      </c>
      <c r="K70" s="229" t="s">
        <v>19</v>
      </c>
      <c r="L70" s="229" t="s">
        <v>20</v>
      </c>
      <c r="M70" s="229" t="s">
        <v>21</v>
      </c>
      <c r="N70" s="230" t="s">
        <v>22</v>
      </c>
    </row>
    <row r="71" spans="1:14" ht="18" customHeight="1">
      <c r="A71" s="233" t="s">
        <v>12</v>
      </c>
      <c r="B71" s="275">
        <f>B30/B$34</f>
        <v>0.16945150951464188</v>
      </c>
      <c r="C71" s="275">
        <f t="shared" ref="C71:G71" si="12">C30/C$34</f>
        <v>0.13397214747673772</v>
      </c>
      <c r="D71" s="275">
        <f t="shared" si="12"/>
        <v>0.19975722931119738</v>
      </c>
      <c r="E71" s="275">
        <f t="shared" si="12"/>
        <v>0.15908780651740442</v>
      </c>
      <c r="F71" s="275">
        <f t="shared" si="12"/>
        <v>0.11032525396684932</v>
      </c>
      <c r="G71" s="278">
        <f t="shared" si="12"/>
        <v>0.13990945717435904</v>
      </c>
      <c r="I71" s="277">
        <f>I30/I$34</f>
        <v>0.64347488507074624</v>
      </c>
      <c r="J71" s="275">
        <f t="shared" ref="J71:N71" si="13">J30/J$34</f>
        <v>0.65545532347955093</v>
      </c>
      <c r="K71" s="275">
        <f t="shared" si="13"/>
        <v>0.62922502419169879</v>
      </c>
      <c r="L71" s="275">
        <f t="shared" si="13"/>
        <v>0.62502106540861724</v>
      </c>
      <c r="M71" s="275">
        <f t="shared" si="13"/>
        <v>0.68166220446685821</v>
      </c>
      <c r="N71" s="278">
        <f t="shared" si="13"/>
        <v>0.71832004320189236</v>
      </c>
    </row>
    <row r="72" spans="1:14" ht="18" customHeight="1">
      <c r="A72" s="236" t="s">
        <v>13</v>
      </c>
      <c r="B72" s="276">
        <f t="shared" ref="B72:B75" si="14">B31/B$34</f>
        <v>0.51990851092987722</v>
      </c>
      <c r="C72" s="276">
        <f t="shared" ref="C72:G72" si="15">C31/C$34</f>
        <v>0.4108584458063817</v>
      </c>
      <c r="D72" s="276">
        <f t="shared" si="15"/>
        <v>0.72009160619405765</v>
      </c>
      <c r="E72" s="276">
        <f t="shared" si="15"/>
        <v>0.5622884015719759</v>
      </c>
      <c r="F72" s="276">
        <f t="shared" si="15"/>
        <v>0.39251178192204006</v>
      </c>
      <c r="G72" s="280">
        <f t="shared" si="15"/>
        <v>0.38077004700144745</v>
      </c>
      <c r="I72" s="279">
        <f t="shared" ref="I72:N72" si="16">I31/I$34</f>
        <v>0.63339626860115261</v>
      </c>
      <c r="J72" s="276">
        <f t="shared" si="16"/>
        <v>0.64426212740952893</v>
      </c>
      <c r="K72" s="276">
        <f t="shared" si="16"/>
        <v>0.55280112404391479</v>
      </c>
      <c r="L72" s="276">
        <f t="shared" si="16"/>
        <v>0.55489383519020696</v>
      </c>
      <c r="M72" s="276">
        <f t="shared" si="16"/>
        <v>0.60783546801564692</v>
      </c>
      <c r="N72" s="280">
        <f t="shared" si="16"/>
        <v>0.66742423512010896</v>
      </c>
    </row>
    <row r="73" spans="1:14" ht="18" customHeight="1">
      <c r="A73" s="236" t="s">
        <v>14</v>
      </c>
      <c r="B73" s="276">
        <f t="shared" si="14"/>
        <v>0.64715235243745439</v>
      </c>
      <c r="C73" s="276">
        <f t="shared" ref="C73:G73" si="17">C32/C$34</f>
        <v>0.51150053177762866</v>
      </c>
      <c r="D73" s="276">
        <f t="shared" si="17"/>
        <v>0.85058436791461844</v>
      </c>
      <c r="E73" s="276">
        <f t="shared" si="17"/>
        <v>0.6462211451278671</v>
      </c>
      <c r="F73" s="276">
        <f t="shared" si="17"/>
        <v>0.48752852442944616</v>
      </c>
      <c r="G73" s="280">
        <f t="shared" si="17"/>
        <v>0.50015567282949391</v>
      </c>
      <c r="I73" s="279">
        <f t="shared" ref="I73:N73" si="18">I32/I$34</f>
        <v>0.62507859758752082</v>
      </c>
      <c r="J73" s="276">
        <f t="shared" si="18"/>
        <v>0.60446580672985972</v>
      </c>
      <c r="K73" s="276">
        <f t="shared" si="18"/>
        <v>0.54423534253695272</v>
      </c>
      <c r="L73" s="276">
        <f t="shared" si="18"/>
        <v>0.53767638212877344</v>
      </c>
      <c r="M73" s="276">
        <f t="shared" si="18"/>
        <v>0.55154450026706758</v>
      </c>
      <c r="N73" s="280">
        <f t="shared" si="18"/>
        <v>0.57024663844063872</v>
      </c>
    </row>
    <row r="74" spans="1:14" ht="18" customHeight="1">
      <c r="A74" s="236" t="s">
        <v>15</v>
      </c>
      <c r="B74" s="276">
        <f t="shared" si="14"/>
        <v>0.67169440141927061</v>
      </c>
      <c r="C74" s="276">
        <f t="shared" ref="C74:G74" si="19">C33/C$34</f>
        <v>0.55856547031795722</v>
      </c>
      <c r="D74" s="276">
        <f t="shared" si="19"/>
        <v>1.0726356319798842</v>
      </c>
      <c r="E74" s="276">
        <f t="shared" si="19"/>
        <v>0.73094762838527072</v>
      </c>
      <c r="F74" s="276">
        <f t="shared" si="19"/>
        <v>0.54520593693592734</v>
      </c>
      <c r="G74" s="280">
        <f t="shared" si="19"/>
        <v>0.57851022878729719</v>
      </c>
      <c r="I74" s="279">
        <f t="shared" ref="I74:N74" si="20">I33/I$34</f>
        <v>0.70403386885210584</v>
      </c>
      <c r="J74" s="276">
        <f t="shared" si="20"/>
        <v>0.70304968182418781</v>
      </c>
      <c r="K74" s="276">
        <f t="shared" si="20"/>
        <v>0.65342720291452372</v>
      </c>
      <c r="L74" s="276">
        <f t="shared" si="20"/>
        <v>0.65090670428816544</v>
      </c>
      <c r="M74" s="276">
        <f t="shared" si="20"/>
        <v>0.66595813160785355</v>
      </c>
      <c r="N74" s="280">
        <f t="shared" si="20"/>
        <v>0.78864420435061489</v>
      </c>
    </row>
    <row r="75" spans="1:14" ht="18" customHeight="1" thickBot="1">
      <c r="A75" s="239" t="s">
        <v>16</v>
      </c>
      <c r="B75" s="282">
        <f t="shared" si="14"/>
        <v>1</v>
      </c>
      <c r="C75" s="282">
        <f t="shared" ref="C75:G75" si="21">C34/C$34</f>
        <v>1</v>
      </c>
      <c r="D75" s="282">
        <f t="shared" si="21"/>
        <v>1</v>
      </c>
      <c r="E75" s="282">
        <f t="shared" si="21"/>
        <v>1</v>
      </c>
      <c r="F75" s="282">
        <f t="shared" si="21"/>
        <v>1</v>
      </c>
      <c r="G75" s="283">
        <f t="shared" si="21"/>
        <v>1</v>
      </c>
      <c r="I75" s="281">
        <f t="shared" ref="I75:N75" si="22">I34/I$34</f>
        <v>1</v>
      </c>
      <c r="J75" s="282">
        <f t="shared" si="22"/>
        <v>1</v>
      </c>
      <c r="K75" s="282">
        <f t="shared" si="22"/>
        <v>1</v>
      </c>
      <c r="L75" s="282">
        <f t="shared" si="22"/>
        <v>1</v>
      </c>
      <c r="M75" s="282">
        <f t="shared" si="22"/>
        <v>1</v>
      </c>
      <c r="N75" s="283">
        <f t="shared" si="22"/>
        <v>1</v>
      </c>
    </row>
    <row r="78" spans="1:14" ht="15">
      <c r="A78" s="290" t="s">
        <v>142</v>
      </c>
    </row>
    <row r="79" spans="1:14" ht="13.5" thickBot="1"/>
    <row r="80" spans="1:14" ht="18" customHeight="1">
      <c r="A80" s="433" t="s">
        <v>114</v>
      </c>
      <c r="B80" s="227" t="s">
        <v>143</v>
      </c>
      <c r="C80" s="227"/>
      <c r="D80" s="227"/>
      <c r="E80" s="227"/>
      <c r="F80" s="227"/>
      <c r="G80" s="228"/>
      <c r="I80" s="245" t="s">
        <v>144</v>
      </c>
      <c r="J80" s="227"/>
      <c r="K80" s="227"/>
      <c r="L80" s="227"/>
      <c r="M80" s="227"/>
      <c r="N80" s="228"/>
    </row>
    <row r="81" spans="1:14" ht="18" customHeight="1">
      <c r="A81" s="434"/>
      <c r="B81" s="229" t="s">
        <v>17</v>
      </c>
      <c r="C81" s="229" t="s">
        <v>18</v>
      </c>
      <c r="D81" s="229" t="s">
        <v>19</v>
      </c>
      <c r="E81" s="229" t="s">
        <v>20</v>
      </c>
      <c r="F81" s="229" t="s">
        <v>21</v>
      </c>
      <c r="G81" s="230" t="s">
        <v>22</v>
      </c>
      <c r="I81" s="246" t="s">
        <v>17</v>
      </c>
      <c r="J81" s="229" t="s">
        <v>18</v>
      </c>
      <c r="K81" s="229" t="s">
        <v>19</v>
      </c>
      <c r="L81" s="229" t="s">
        <v>20</v>
      </c>
      <c r="M81" s="229" t="s">
        <v>21</v>
      </c>
      <c r="N81" s="230" t="s">
        <v>22</v>
      </c>
    </row>
    <row r="82" spans="1:14" ht="18" customHeight="1">
      <c r="A82" s="309" t="s">
        <v>115</v>
      </c>
      <c r="B82" s="310">
        <f>SUMPRODUCT(B83:F83,'I. Datos de entrada'!C116:G116)/'I. Datos de entrada'!C116</f>
        <v>4.2689965331622526</v>
      </c>
      <c r="C82" s="310">
        <f>G83</f>
        <v>2.61260926011927E-2</v>
      </c>
      <c r="D82" s="310"/>
      <c r="E82" s="310"/>
      <c r="F82" s="310"/>
      <c r="G82" s="311"/>
      <c r="I82" s="320">
        <f>I30</f>
        <v>4.4372819052589489E-3</v>
      </c>
      <c r="J82" s="318">
        <f t="shared" ref="J82:N82" si="23">J30</f>
        <v>3.495526050659746E-3</v>
      </c>
      <c r="K82" s="318">
        <f t="shared" si="23"/>
        <v>2.8869730439590466E-3</v>
      </c>
      <c r="L82" s="318">
        <f t="shared" si="23"/>
        <v>1.5638189910978449E-3</v>
      </c>
      <c r="M82" s="318">
        <f t="shared" si="23"/>
        <v>5.4999953786605671E-5</v>
      </c>
      <c r="N82" s="321">
        <f t="shared" si="23"/>
        <v>3.5754444495698614E-5</v>
      </c>
    </row>
    <row r="83" spans="1:14" ht="18" customHeight="1">
      <c r="A83" s="312" t="s">
        <v>116</v>
      </c>
      <c r="B83" s="313">
        <f>B30</f>
        <v>1.4624974782235272</v>
      </c>
      <c r="C83" s="313">
        <f t="shared" ref="C83:E83" si="24">C30</f>
        <v>1.3195279515431957</v>
      </c>
      <c r="D83" s="313">
        <f t="shared" si="24"/>
        <v>0.89779956788242909</v>
      </c>
      <c r="E83" s="313">
        <f t="shared" si="24"/>
        <v>0.56304544291190783</v>
      </c>
      <c r="F83" s="313">
        <f>SUM(F12:G12)/SUM(F21:G21)</f>
        <v>2.61260926011927E-2</v>
      </c>
      <c r="G83" s="314">
        <f>F83</f>
        <v>2.61260926011927E-2</v>
      </c>
      <c r="I83" s="322">
        <f>I30</f>
        <v>4.4372819052589489E-3</v>
      </c>
      <c r="J83" s="319">
        <f t="shared" ref="J83:N83" si="25">J30</f>
        <v>3.495526050659746E-3</v>
      </c>
      <c r="K83" s="319">
        <f t="shared" si="25"/>
        <v>2.8869730439590466E-3</v>
      </c>
      <c r="L83" s="319">
        <f t="shared" si="25"/>
        <v>1.5638189910978449E-3</v>
      </c>
      <c r="M83" s="319">
        <f t="shared" si="25"/>
        <v>5.4999953786605671E-5</v>
      </c>
      <c r="N83" s="323">
        <f t="shared" si="25"/>
        <v>3.5754444495698614E-5</v>
      </c>
    </row>
    <row r="84" spans="1:14" ht="18" customHeight="1">
      <c r="A84" s="312" t="s">
        <v>117</v>
      </c>
      <c r="B84" s="313">
        <f t="shared" ref="B84:B86" si="26">B31</f>
        <v>4.4872122315097656</v>
      </c>
      <c r="C84" s="313">
        <f t="shared" ref="C84:E84" si="27">C31</f>
        <v>4.046656066801126</v>
      </c>
      <c r="D84" s="313">
        <f t="shared" si="27"/>
        <v>3.2364182017644247</v>
      </c>
      <c r="E84" s="313">
        <f t="shared" si="27"/>
        <v>1.9900577488488163</v>
      </c>
      <c r="F84" s="313">
        <f>SUM(F13:G13)/SUM(F22:G22)</f>
        <v>8.0143303519585471E-2</v>
      </c>
      <c r="G84" s="314">
        <f t="shared" ref="G84:G87" si="28">F84</f>
        <v>8.0143303519585471E-2</v>
      </c>
      <c r="I84" s="322">
        <f t="shared" ref="I84:N87" si="29">I31</f>
        <v>4.3677816597510674E-3</v>
      </c>
      <c r="J84" s="319">
        <f t="shared" si="29"/>
        <v>3.4358330295622907E-3</v>
      </c>
      <c r="K84" s="319">
        <f t="shared" si="29"/>
        <v>2.536329424970282E-3</v>
      </c>
      <c r="L84" s="319">
        <f t="shared" si="29"/>
        <v>1.3883588338678727E-3</v>
      </c>
      <c r="M84" s="319">
        <f t="shared" si="29"/>
        <v>4.9043239351765748E-5</v>
      </c>
      <c r="N84" s="323">
        <f t="shared" si="29"/>
        <v>3.3221101089307836E-5</v>
      </c>
    </row>
    <row r="85" spans="1:14" ht="18" customHeight="1">
      <c r="A85" s="312" t="s">
        <v>118</v>
      </c>
      <c r="B85" s="313">
        <f t="shared" si="26"/>
        <v>5.5854249169991563</v>
      </c>
      <c r="C85" s="313">
        <f t="shared" ref="C85:E85" si="30">C32</f>
        <v>5.037907218938793</v>
      </c>
      <c r="D85" s="313">
        <f t="shared" si="30"/>
        <v>3.8229118445150903</v>
      </c>
      <c r="E85" s="313">
        <f t="shared" si="30"/>
        <v>2.2871135056963294</v>
      </c>
      <c r="F85" s="313">
        <f>SUM(F14:G14)/SUM(F23:G23)</f>
        <v>0.10535899499391321</v>
      </c>
      <c r="G85" s="314">
        <f t="shared" si="28"/>
        <v>0.10535899499391321</v>
      </c>
      <c r="I85" s="322">
        <f t="shared" si="29"/>
        <v>4.3104245632442978E-3</v>
      </c>
      <c r="J85" s="319">
        <f t="shared" si="29"/>
        <v>3.2236002950446763E-3</v>
      </c>
      <c r="K85" s="319">
        <f t="shared" si="29"/>
        <v>2.4970284128358559E-3</v>
      </c>
      <c r="L85" s="319">
        <f t="shared" si="29"/>
        <v>1.3452803176930573E-3</v>
      </c>
      <c r="M85" s="319">
        <f t="shared" si="29"/>
        <v>4.4501399413322017E-5</v>
      </c>
      <c r="N85" s="323">
        <f t="shared" si="29"/>
        <v>2.8384077509659584E-5</v>
      </c>
    </row>
    <row r="86" spans="1:14" ht="18" customHeight="1">
      <c r="A86" s="312" t="s">
        <v>119</v>
      </c>
      <c r="B86" s="313">
        <f t="shared" si="26"/>
        <v>5.7972417656607673</v>
      </c>
      <c r="C86" s="313">
        <f t="shared" ref="C86:E86" si="31">C33</f>
        <v>5.5014625407821596</v>
      </c>
      <c r="D86" s="313">
        <f t="shared" si="31"/>
        <v>4.8209109137501169</v>
      </c>
      <c r="E86" s="313">
        <f t="shared" si="31"/>
        <v>2.5869784754658021</v>
      </c>
      <c r="F86" s="313">
        <f>SUM(F15:G15)/SUM(F24:G24)</f>
        <v>0.11935915997182288</v>
      </c>
      <c r="G86" s="314">
        <f t="shared" si="28"/>
        <v>0.11935915997182288</v>
      </c>
      <c r="I86" s="322">
        <f t="shared" si="29"/>
        <v>4.8548852790166568E-3</v>
      </c>
      <c r="J86" s="319">
        <f t="shared" si="29"/>
        <v>3.74934551553942E-3</v>
      </c>
      <c r="K86" s="319">
        <f t="shared" si="29"/>
        <v>2.9980160490709795E-3</v>
      </c>
      <c r="L86" s="319">
        <f t="shared" si="29"/>
        <v>1.6285855340463988E-3</v>
      </c>
      <c r="M86" s="319">
        <f t="shared" si="29"/>
        <v>5.3732869773663682E-5</v>
      </c>
      <c r="N86" s="323">
        <f t="shared" si="29"/>
        <v>3.9254835916339878E-5</v>
      </c>
    </row>
    <row r="87" spans="1:14" ht="18" customHeight="1" thickBot="1">
      <c r="A87" s="315" t="s">
        <v>120</v>
      </c>
      <c r="B87" s="316">
        <f>SUM(B16:C16)/SUM(B25:C25)</f>
        <v>9.258491084606316</v>
      </c>
      <c r="C87" s="316">
        <f>B87</f>
        <v>9.258491084606316</v>
      </c>
      <c r="D87" s="316">
        <f t="shared" ref="D87:E87" si="32">D34</f>
        <v>4.4944534472079951</v>
      </c>
      <c r="E87" s="316">
        <f t="shared" si="32"/>
        <v>3.5392118053391473</v>
      </c>
      <c r="F87" s="316">
        <f>SUM(F16:G16)/SUM(F25:G25)</f>
        <v>0.20419529055875427</v>
      </c>
      <c r="G87" s="317">
        <f t="shared" si="28"/>
        <v>0.20419529055875427</v>
      </c>
      <c r="I87" s="324">
        <f t="shared" si="29"/>
        <v>6.8958121104774677E-3</v>
      </c>
      <c r="J87" s="325">
        <f t="shared" si="29"/>
        <v>5.3329737747851253E-3</v>
      </c>
      <c r="K87" s="325">
        <f t="shared" si="29"/>
        <v>4.5881408605254479E-3</v>
      </c>
      <c r="L87" s="325">
        <f t="shared" si="29"/>
        <v>2.5020260558345723E-3</v>
      </c>
      <c r="M87" s="325">
        <f t="shared" si="29"/>
        <v>8.0685056947850357E-5</v>
      </c>
      <c r="N87" s="326">
        <f t="shared" si="29"/>
        <v>4.9775089577514972E-5</v>
      </c>
    </row>
    <row r="90" spans="1:14" ht="15">
      <c r="A90" s="290" t="s">
        <v>145</v>
      </c>
    </row>
    <row r="91" spans="1:14" ht="13.5" thickBot="1"/>
    <row r="92" spans="1:14" ht="22.5" customHeight="1">
      <c r="A92" s="433" t="s">
        <v>114</v>
      </c>
      <c r="B92" s="227" t="s">
        <v>147</v>
      </c>
      <c r="C92" s="227"/>
      <c r="D92" s="227"/>
      <c r="E92" s="435" t="s">
        <v>146</v>
      </c>
    </row>
    <row r="93" spans="1:14" ht="30" customHeight="1">
      <c r="A93" s="434"/>
      <c r="B93" s="328" t="s">
        <v>112</v>
      </c>
      <c r="C93" s="328" t="s">
        <v>113</v>
      </c>
      <c r="D93" s="328" t="s">
        <v>5</v>
      </c>
      <c r="E93" s="436"/>
    </row>
    <row r="94" spans="1:14" ht="18" customHeight="1">
      <c r="A94" s="309" t="s">
        <v>115</v>
      </c>
      <c r="B94" s="329">
        <f>'I. Datos de entrada'!C116*B82+'I. Datos de entrada'!H116*C82</f>
        <v>521081.09035522758</v>
      </c>
      <c r="C94" s="329">
        <f>SUMPRODUCT(I82:N82,'I. Datos de entrada'!C101:H101)*1000</f>
        <v>114087.82365099694</v>
      </c>
      <c r="D94" s="330">
        <f>SUM(B94:C94)</f>
        <v>635168.91400622448</v>
      </c>
      <c r="E94" s="333">
        <f>B94/D94</f>
        <v>0.82038191552636519</v>
      </c>
    </row>
    <row r="95" spans="1:14" ht="18" customHeight="1">
      <c r="A95" s="312" t="s">
        <v>116</v>
      </c>
      <c r="B95" s="331">
        <f>SUMPRODUCT(B83:G83,'I. Datos de entrada'!C117:H117)</f>
        <v>90517.643661578972</v>
      </c>
      <c r="C95" s="331">
        <f>SUMPRODUCT(I83:N83,'I. Datos de entrada'!C102:H102)*1000</f>
        <v>61134.893688018754</v>
      </c>
      <c r="D95" s="332">
        <f t="shared" ref="D95:D99" si="33">SUM(B95:C95)</f>
        <v>151652.53734959773</v>
      </c>
      <c r="E95" s="334">
        <f t="shared" ref="E95:E99" si="34">B95/D95</f>
        <v>0.59687523363300377</v>
      </c>
      <c r="F95" s="390"/>
      <c r="G95" s="327"/>
    </row>
    <row r="96" spans="1:14" ht="18" customHeight="1">
      <c r="A96" s="312" t="s">
        <v>117</v>
      </c>
      <c r="B96" s="331">
        <f>SUMPRODUCT(B84:G84,'I. Datos de entrada'!C118:H118)</f>
        <v>258789.97380256455</v>
      </c>
      <c r="C96" s="331">
        <f>SUMPRODUCT(I84:N84,'I. Datos de entrada'!C103:H103)*1000</f>
        <v>99840.360136840798</v>
      </c>
      <c r="D96" s="332">
        <f t="shared" si="33"/>
        <v>358630.33393940533</v>
      </c>
      <c r="E96" s="334">
        <f t="shared" si="34"/>
        <v>0.72160648252997484</v>
      </c>
      <c r="F96" s="327"/>
      <c r="G96" s="327"/>
      <c r="I96" s="327"/>
    </row>
    <row r="97" spans="1:9" ht="18" customHeight="1">
      <c r="A97" s="312" t="s">
        <v>118</v>
      </c>
      <c r="B97" s="331">
        <f>SUMPRODUCT(B85:G85,'I. Datos de entrada'!C119:H119)</f>
        <v>73279.826353079116</v>
      </c>
      <c r="C97" s="331">
        <f>SUMPRODUCT(I85:N85,'I. Datos de entrada'!C104:H104)*1000</f>
        <v>28236.484123135979</v>
      </c>
      <c r="D97" s="332">
        <f t="shared" si="33"/>
        <v>101516.31047621509</v>
      </c>
      <c r="E97" s="334">
        <f t="shared" si="34"/>
        <v>0.72185273488882673</v>
      </c>
      <c r="F97" s="327"/>
      <c r="G97" s="327"/>
      <c r="I97" s="327"/>
    </row>
    <row r="98" spans="1:9" ht="18" customHeight="1">
      <c r="A98" s="312" t="s">
        <v>119</v>
      </c>
      <c r="B98" s="331">
        <f>SUMPRODUCT(B86:G86,'I. Datos de entrada'!C120:H120)</f>
        <v>33352.514025762372</v>
      </c>
      <c r="C98" s="331">
        <f>SUMPRODUCT(I86:N86,'I. Datos de entrada'!C105:H105)*1000</f>
        <v>12903.762385555354</v>
      </c>
      <c r="D98" s="332">
        <f t="shared" si="33"/>
        <v>46256.276411317725</v>
      </c>
      <c r="E98" s="334">
        <f t="shared" si="34"/>
        <v>0.72103758913032323</v>
      </c>
      <c r="F98" s="327"/>
      <c r="G98" s="327"/>
      <c r="I98" s="327"/>
    </row>
    <row r="99" spans="1:9" ht="18" customHeight="1" thickBot="1">
      <c r="A99" s="315" t="s">
        <v>120</v>
      </c>
      <c r="B99" s="335">
        <f>SUMPRODUCT(B87:G87,'I. Datos de entrada'!C121:H121)</f>
        <v>102895.01826024041</v>
      </c>
      <c r="C99" s="335">
        <f>SUMPRODUCT(I87:N87,'I. Datos de entrada'!C106:H106)*1000</f>
        <v>43768.698168269853</v>
      </c>
      <c r="D99" s="336">
        <f t="shared" si="33"/>
        <v>146663.71642851026</v>
      </c>
      <c r="E99" s="337">
        <f t="shared" si="34"/>
        <v>0.70157105496774685</v>
      </c>
      <c r="F99" s="327"/>
      <c r="G99" s="327"/>
    </row>
    <row r="100" spans="1:9" ht="7.5" customHeight="1" thickBot="1"/>
    <row r="101" spans="1:9" ht="13.5" thickBot="1">
      <c r="A101" s="382" t="s">
        <v>2</v>
      </c>
      <c r="B101" s="383">
        <f>SUM(B94:B99)</f>
        <v>1079916.066458453</v>
      </c>
      <c r="C101" s="383">
        <f>SUM(C94:C99)</f>
        <v>359972.02215281769</v>
      </c>
      <c r="D101" s="384">
        <f>SUM(B101:C101)</f>
        <v>1439888.0886112708</v>
      </c>
      <c r="E101" s="385">
        <f>B101/D101</f>
        <v>0.74999999999999989</v>
      </c>
    </row>
    <row r="102" spans="1:9">
      <c r="D102" s="128">
        <f>D101-'I. Datos de entrada'!C14</f>
        <v>0</v>
      </c>
    </row>
    <row r="104" spans="1:9">
      <c r="B104" s="392"/>
      <c r="C104" s="390"/>
    </row>
    <row r="105" spans="1:9">
      <c r="B105" s="392"/>
      <c r="C105" s="327"/>
    </row>
    <row r="107" spans="1:9">
      <c r="B107" s="392"/>
    </row>
    <row r="108" spans="1:9">
      <c r="B108" s="392"/>
    </row>
    <row r="109" spans="1:9">
      <c r="B109" s="392"/>
    </row>
    <row r="110" spans="1:9">
      <c r="B110" s="393"/>
    </row>
  </sheetData>
  <mergeCells count="8">
    <mergeCell ref="A80:A81"/>
    <mergeCell ref="A92:A93"/>
    <mergeCell ref="E92:E93"/>
    <mergeCell ref="A10:A11"/>
    <mergeCell ref="A19:A20"/>
    <mergeCell ref="A28:A29"/>
    <mergeCell ref="A39:A40"/>
    <mergeCell ref="A69:A7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6:N102"/>
  <sheetViews>
    <sheetView showGridLines="0" workbookViewId="0"/>
  </sheetViews>
  <sheetFormatPr baseColWidth="10" defaultRowHeight="12.75"/>
  <cols>
    <col min="2" max="2" width="14.140625" customWidth="1"/>
    <col min="3" max="3" width="12.7109375" customWidth="1"/>
    <col min="4" max="4" width="14.28515625" customWidth="1"/>
    <col min="5" max="5" width="13.28515625" customWidth="1"/>
    <col min="6" max="6" width="13.7109375" bestFit="1" customWidth="1"/>
    <col min="7" max="7" width="12.7109375" customWidth="1"/>
    <col min="8" max="8" width="2.28515625" customWidth="1"/>
    <col min="9" max="12" width="12.85546875" bestFit="1" customWidth="1"/>
    <col min="13" max="13" width="11.85546875" bestFit="1" customWidth="1"/>
    <col min="14" max="14" width="12.85546875" bestFit="1" customWidth="1"/>
  </cols>
  <sheetData>
    <row r="6" spans="1:14" ht="15">
      <c r="A6" s="167" t="s">
        <v>149</v>
      </c>
    </row>
    <row r="7" spans="1:14" ht="13.5" thickBot="1"/>
    <row r="8" spans="1:14" ht="25.5" customHeight="1" thickBot="1">
      <c r="B8" s="242" t="s">
        <v>112</v>
      </c>
      <c r="C8" s="243"/>
      <c r="D8" s="243"/>
      <c r="E8" s="243"/>
      <c r="F8" s="243"/>
      <c r="G8" s="244"/>
      <c r="I8" s="242" t="s">
        <v>113</v>
      </c>
      <c r="J8" s="243"/>
      <c r="K8" s="243"/>
      <c r="L8" s="243"/>
      <c r="M8" s="243"/>
      <c r="N8" s="244"/>
    </row>
    <row r="9" spans="1:14" ht="13.5" thickBot="1"/>
    <row r="10" spans="1:14" ht="24.95" customHeight="1">
      <c r="A10" s="433" t="s">
        <v>60</v>
      </c>
      <c r="B10" s="227" t="s">
        <v>121</v>
      </c>
      <c r="C10" s="227"/>
      <c r="D10" s="227"/>
      <c r="E10" s="227"/>
      <c r="F10" s="227"/>
      <c r="G10" s="228"/>
      <c r="I10" s="245" t="s">
        <v>148</v>
      </c>
      <c r="J10" s="227"/>
      <c r="K10" s="227"/>
      <c r="L10" s="227"/>
      <c r="M10" s="227"/>
      <c r="N10" s="228"/>
    </row>
    <row r="11" spans="1:14" ht="24.95" customHeight="1">
      <c r="A11" s="434"/>
      <c r="B11" s="229" t="s">
        <v>17</v>
      </c>
      <c r="C11" s="229" t="s">
        <v>18</v>
      </c>
      <c r="D11" s="229" t="s">
        <v>19</v>
      </c>
      <c r="E11" s="229" t="s">
        <v>20</v>
      </c>
      <c r="F11" s="229" t="s">
        <v>21</v>
      </c>
      <c r="G11" s="230" t="s">
        <v>22</v>
      </c>
      <c r="I11" s="246" t="s">
        <v>17</v>
      </c>
      <c r="J11" s="229" t="s">
        <v>18</v>
      </c>
      <c r="K11" s="229" t="s">
        <v>19</v>
      </c>
      <c r="L11" s="229" t="s">
        <v>20</v>
      </c>
      <c r="M11" s="229" t="s">
        <v>21</v>
      </c>
      <c r="N11" s="230" t="s">
        <v>22</v>
      </c>
    </row>
    <row r="12" spans="1:14" ht="15" customHeight="1">
      <c r="A12" s="233" t="s">
        <v>12</v>
      </c>
      <c r="B12" s="234">
        <f>'III. Metodología de asignación'!J68+'III. Metodología de asignación'!J70+'III. Metodología de asignación'!J73+'III. Metodología de asignación'!J77</f>
        <v>1233257.0436430045</v>
      </c>
      <c r="C12" s="234">
        <f>'III. Metodología de asignación'!K68+'III. Metodología de asignación'!K70+'III. Metodología de asignación'!K73+'III. Metodología de asignación'!K77</f>
        <v>1140108.1910894709</v>
      </c>
      <c r="D12" s="234">
        <f>'III. Metodología de asignación'!L68+'III. Metodología de asignación'!L70+'III. Metodología de asignación'!L73+'III. Metodología de asignación'!L77</f>
        <v>547174.22953768098</v>
      </c>
      <c r="E12" s="234">
        <f>'III. Metodología de asignación'!M68+'III. Metodología de asignación'!M70+'III. Metodología de asignación'!M73+'III. Metodología de asignación'!M77</f>
        <v>434719.48302589351</v>
      </c>
      <c r="F12" s="234">
        <f>'III. Metodología de asignación'!N68+'III. Metodología de asignación'!N70+'III. Metodología de asignación'!N73+'III. Metodología de asignación'!N77</f>
        <v>25689.361727690706</v>
      </c>
      <c r="G12" s="235">
        <f>'III. Metodología de asignación'!O68+'III. Metodología de asignación'!O70+'III. Metodología de asignación'!O73+'III. Metodología de asignación'!O77</f>
        <v>233989.63742864196</v>
      </c>
      <c r="I12" s="247">
        <f>'III. Metodología de asignación'!J88+'III. Metodología de asignación'!J90+'III. Metodología de asignación'!J93+'III. Metodología de asignación'!J97</f>
        <v>163125.18410183478</v>
      </c>
      <c r="J12" s="234">
        <f>'III. Metodología de asignación'!K88+'III. Metodología de asignación'!K90+'III. Metodología de asignación'!K93+'III. Metodología de asignación'!K97</f>
        <v>148683.89721251035</v>
      </c>
      <c r="K12" s="234">
        <f>'III. Metodología de asignación'!L88+'III. Metodología de asignación'!L90+'III. Metodología de asignación'!L93+'III. Metodología de asignación'!L97</f>
        <v>95988.34146083855</v>
      </c>
      <c r="L12" s="234">
        <f>'III. Metodología de asignación'!M88+'III. Metodología de asignación'!M90+'III. Metodología de asignación'!M93+'III. Metodología de asignación'!M97</f>
        <v>69528.405067750951</v>
      </c>
      <c r="M12" s="234">
        <f>'III. Metodología de asignación'!N88+'III. Metodología de asignación'!N90+'III. Metodología de asignación'!N93+'III. Metodología de asignación'!N97</f>
        <v>2692.8889749903174</v>
      </c>
      <c r="N12" s="235">
        <f>'III. Metodología de asignación'!O88+'III. Metodología de asignación'!O90+'III. Metodología de asignación'!O93+'III. Metodología de asignación'!O97</f>
        <v>3859.8661024809758</v>
      </c>
    </row>
    <row r="13" spans="1:14" ht="15" customHeight="1">
      <c r="A13" s="236" t="s">
        <v>13</v>
      </c>
      <c r="B13" s="237">
        <f>'III. Metodología de asignación'!J69+'III. Metodología de asignación'!J72+'III. Metodología de asignación'!J76</f>
        <v>212708.21615618782</v>
      </c>
      <c r="C13" s="237">
        <f>'III. Metodología de asignación'!K69+'III. Metodología de asignación'!K72+'III. Metodología de asignación'!K76</f>
        <v>202811.10652995078</v>
      </c>
      <c r="D13" s="237">
        <f>'III. Metodología de asignación'!L69+'III. Metodología de asignación'!L72+'III. Metodología de asignación'!L76</f>
        <v>164774.38614735942</v>
      </c>
      <c r="E13" s="237">
        <f>'III. Metodología de asignación'!M69+'III. Metodología de asignación'!M72+'III. Metodología de asignación'!M76</f>
        <v>119723.45076247948</v>
      </c>
      <c r="F13" s="237">
        <f>'III. Metodología de asignación'!N69+'III. Metodología de asignación'!N72+'III. Metodología de asignación'!N76</f>
        <v>4702.8825054340068</v>
      </c>
      <c r="G13" s="238">
        <f>'III. Metodología de asignación'!O69+'III. Metodología de asignación'!O72+'III. Metodología de asignación'!O76</f>
        <v>6503.2601783435439</v>
      </c>
      <c r="I13" s="248">
        <f>'III. Metodología de asignación'!J89+'III. Metodología de asignación'!J92+'III. Metodología de asignación'!J96</f>
        <v>91256.884848171074</v>
      </c>
      <c r="J13" s="237">
        <f>'III. Metodología de asignación'!K89+'III. Metodología de asignación'!K92+'III. Metodología de asignación'!K96</f>
        <v>84239.504420825921</v>
      </c>
      <c r="K13" s="237">
        <f>'III. Metodología de asignación'!L89+'III. Metodología de asignación'!L92+'III. Metodología de asignación'!L96</f>
        <v>56401.868561910138</v>
      </c>
      <c r="L13" s="237">
        <f>'III. Metodología de asignación'!M89+'III. Metodología de asignación'!M92+'III. Metodología de asignación'!M96</f>
        <v>42653.325953831241</v>
      </c>
      <c r="M13" s="237">
        <f>'III. Metodología de asignación'!N89+'III. Metodología de asignación'!N92+'III. Metodología de asignación'!N96</f>
        <v>1703.2293074368247</v>
      </c>
      <c r="N13" s="238">
        <f>'III. Metodología de asignación'!O89+'III. Metodología de asignación'!O92+'III. Metodología de asignación'!O96</f>
        <v>2333.0885015237222</v>
      </c>
    </row>
    <row r="14" spans="1:14" ht="15" customHeight="1">
      <c r="A14" s="236" t="s">
        <v>14</v>
      </c>
      <c r="B14" s="237">
        <f>'III. Metodología de asignación'!J71+'III. Metodología de asignación'!J75</f>
        <v>28408.827937756731</v>
      </c>
      <c r="C14" s="237">
        <f>'III. Metodología de asignación'!K71+'III. Metodología de asignación'!K75</f>
        <v>29069.287129103133</v>
      </c>
      <c r="D14" s="237">
        <f>'III. Metodología de asignación'!L71+'III. Metodología de asignación'!L75</f>
        <v>20510.740951842912</v>
      </c>
      <c r="E14" s="237">
        <f>'III. Metodología de asignación'!M71+'III. Metodología de asignación'!M75</f>
        <v>13296.845927729326</v>
      </c>
      <c r="F14" s="237">
        <f>'III. Metodología de asignación'!N71+'III. Metodología de asignación'!N75</f>
        <v>378.70749010787227</v>
      </c>
      <c r="G14" s="238">
        <f>'III. Metodología de asignación'!O71+'III. Metodología de asignación'!O75</f>
        <v>749.62442050709751</v>
      </c>
      <c r="I14" s="248">
        <f>'III. Metodología de asignación'!J91+'III. Metodología de asignación'!J95</f>
        <v>11503.961217996171</v>
      </c>
      <c r="J14" s="237">
        <f>'III. Metodología de asignación'!K91+'III. Metodología de asignación'!K95</f>
        <v>11414.946731708294</v>
      </c>
      <c r="K14" s="237">
        <f>'III. Metodología de asignación'!L91+'III. Metodología de asignación'!L95</f>
        <v>8245.1980140956148</v>
      </c>
      <c r="L14" s="237">
        <f>'III. Metodología de asignación'!M91+'III. Metodología de asignación'!M95</f>
        <v>5485.3196488785516</v>
      </c>
      <c r="M14" s="237">
        <f>'III. Metodología de asignación'!N91+'III. Metodología de asignación'!N95</f>
        <v>145.6031587371443</v>
      </c>
      <c r="N14" s="238">
        <f>'III. Metodología de asignación'!O91+'III. Metodología de asignación'!O95</f>
        <v>282.05994718729278</v>
      </c>
    </row>
    <row r="15" spans="1:14" ht="15" customHeight="1">
      <c r="A15" s="236" t="s">
        <v>15</v>
      </c>
      <c r="B15" s="237">
        <f>'III. Metodología de asignación'!J74</f>
        <v>7587.0262005510112</v>
      </c>
      <c r="C15" s="237">
        <f>'III. Metodología de asignación'!K74</f>
        <v>7766.3294639753658</v>
      </c>
      <c r="D15" s="237">
        <f>'III. Metodología de asignación'!L74</f>
        <v>7156.9102631167534</v>
      </c>
      <c r="E15" s="237">
        <f>'III. Metodología de asignación'!M74</f>
        <v>4651.44860889763</v>
      </c>
      <c r="F15" s="237">
        <f>'III. Metodología de asignación'!N74</f>
        <v>182.72426426741393</v>
      </c>
      <c r="G15" s="238">
        <f>'III. Metodología de asignación'!O74</f>
        <v>450.87861000738985</v>
      </c>
      <c r="I15" s="248">
        <f>'III. Metodología de asignación'!J94</f>
        <v>3150.4731444980257</v>
      </c>
      <c r="J15" s="237">
        <f>'III. Metodología de asignación'!K94</f>
        <v>3052.063172455425</v>
      </c>
      <c r="K15" s="237">
        <f>'III. Metodología de asignación'!L94</f>
        <v>2638.0750631556975</v>
      </c>
      <c r="L15" s="237">
        <f>'III. Metodología de asignación'!M94</f>
        <v>1951.6473045392456</v>
      </c>
      <c r="M15" s="237">
        <f>'III. Metodología de asignación'!N94</f>
        <v>68.470421335713269</v>
      </c>
      <c r="N15" s="238">
        <f>'III. Metodología de asignación'!O94</f>
        <v>225.0976613080098</v>
      </c>
    </row>
    <row r="16" spans="1:14" ht="15" customHeight="1" thickBot="1">
      <c r="A16" s="340" t="s">
        <v>16</v>
      </c>
      <c r="B16" s="338"/>
      <c r="C16" s="338"/>
      <c r="D16" s="338"/>
      <c r="E16" s="338"/>
      <c r="F16" s="338"/>
      <c r="G16" s="339"/>
      <c r="I16" s="341"/>
      <c r="J16" s="338"/>
      <c r="K16" s="338"/>
      <c r="L16" s="338"/>
      <c r="M16" s="338"/>
      <c r="N16" s="339"/>
    </row>
    <row r="17" spans="1:14">
      <c r="G17" s="300">
        <f>SUM(B12:G16)-SUM('III. Metodología de asignación'!E22:H22)</f>
        <v>0</v>
      </c>
      <c r="N17" s="300"/>
    </row>
    <row r="18" spans="1:14" ht="13.5" thickBot="1"/>
    <row r="19" spans="1:14" ht="24" customHeight="1">
      <c r="A19" s="433" t="s">
        <v>60</v>
      </c>
      <c r="B19" s="227" t="s">
        <v>122</v>
      </c>
      <c r="C19" s="227"/>
      <c r="D19" s="227"/>
      <c r="E19" s="227"/>
      <c r="F19" s="227"/>
      <c r="G19" s="228"/>
      <c r="I19" s="245" t="s">
        <v>130</v>
      </c>
      <c r="J19" s="227"/>
      <c r="K19" s="227"/>
      <c r="L19" s="227"/>
      <c r="M19" s="227"/>
      <c r="N19" s="228"/>
    </row>
    <row r="20" spans="1:14" ht="24" customHeight="1">
      <c r="A20" s="434"/>
      <c r="B20" s="229" t="s">
        <v>17</v>
      </c>
      <c r="C20" s="229" t="s">
        <v>18</v>
      </c>
      <c r="D20" s="229" t="s">
        <v>19</v>
      </c>
      <c r="E20" s="229" t="s">
        <v>20</v>
      </c>
      <c r="F20" s="229" t="s">
        <v>21</v>
      </c>
      <c r="G20" s="230" t="s">
        <v>22</v>
      </c>
      <c r="I20" s="246" t="s">
        <v>17</v>
      </c>
      <c r="J20" s="229" t="s">
        <v>18</v>
      </c>
      <c r="K20" s="229" t="s">
        <v>19</v>
      </c>
      <c r="L20" s="229" t="s">
        <v>20</v>
      </c>
      <c r="M20" s="229" t="s">
        <v>21</v>
      </c>
      <c r="N20" s="230" t="s">
        <v>22</v>
      </c>
    </row>
    <row r="21" spans="1:14" ht="15" customHeight="1">
      <c r="A21" s="233" t="s">
        <v>12</v>
      </c>
      <c r="B21" s="234">
        <f>'I. Datos de entrada'!C116+'I. Datos de entrada'!C117</f>
        <v>141040.75005213538</v>
      </c>
      <c r="C21" s="234">
        <f>'I. Datos de entrada'!D116+'I. Datos de entrada'!D117</f>
        <v>143080.16764411132</v>
      </c>
      <c r="D21" s="234">
        <f>'I. Datos de entrada'!E116+'I. Datos de entrada'!E117</f>
        <v>143102.32448937025</v>
      </c>
      <c r="E21" s="234">
        <f>'I. Datos de entrada'!F116+'I. Datos de entrada'!F117</f>
        <v>143102.32448937025</v>
      </c>
      <c r="F21" s="234">
        <f>'I. Datos de entrada'!G116+'I. Datos de entrada'!G117</f>
        <v>143102.32448937025</v>
      </c>
      <c r="G21" s="235">
        <f>'I. Datos de entrada'!H116+'I. Datos de entrada'!H117</f>
        <v>143140.07584577607</v>
      </c>
      <c r="I21" s="247">
        <f>('I. Datos de entrada'!C101+'I. Datos de entrada'!C102)*1000</f>
        <v>13141153.088914406</v>
      </c>
      <c r="J21" s="234">
        <f>('I. Datos de entrada'!D101+'I. Datos de entrada'!D102)*1000</f>
        <v>15596075.660821898</v>
      </c>
      <c r="K21" s="234">
        <f>('I. Datos de entrada'!E101+'I. Datos de entrada'!E102)*1000</f>
        <v>12879467.416340977</v>
      </c>
      <c r="L21" s="234">
        <f>('I. Datos de entrada'!F101+'I. Datos de entrada'!F102)*1000</f>
        <v>14742915.979607951</v>
      </c>
      <c r="M21" s="234">
        <f>('I. Datos de entrada'!G101+'I. Datos de entrada'!G102)*1000</f>
        <v>6012001.2000848316</v>
      </c>
      <c r="N21" s="235">
        <f>('I. Datos de entrada'!H101+'I. Datos de entrada'!H102)*1000</f>
        <v>51088494.196258441</v>
      </c>
    </row>
    <row r="22" spans="1:14" ht="15" customHeight="1">
      <c r="A22" s="236" t="s">
        <v>13</v>
      </c>
      <c r="B22" s="237">
        <f>'I. Datos de entrada'!C118</f>
        <v>17510.132456305215</v>
      </c>
      <c r="C22" s="237">
        <f>'I. Datos de entrada'!D118</f>
        <v>18456.98973829022</v>
      </c>
      <c r="D22" s="237">
        <f>'I. Datos de entrada'!E118</f>
        <v>19464.845827412613</v>
      </c>
      <c r="E22" s="237">
        <f>'I. Datos de entrada'!F118</f>
        <v>19561.112087931368</v>
      </c>
      <c r="F22" s="237">
        <f>'I. Datos de entrada'!G118</f>
        <v>19698.13930389845</v>
      </c>
      <c r="G22" s="238">
        <f>'I. Datos de entrada'!H118</f>
        <v>25284.779973840949</v>
      </c>
      <c r="I22" s="248">
        <f>'I. Datos de entrada'!C103*1000</f>
        <v>7468347.1846854687</v>
      </c>
      <c r="J22" s="237">
        <f>'I. Datos de entrada'!D103*1000</f>
        <v>8948896.783511024</v>
      </c>
      <c r="K22" s="237">
        <f>'I. Datos de entrada'!E103*1000</f>
        <v>8472232.0976786017</v>
      </c>
      <c r="L22" s="237">
        <f>'I. Datos de entrada'!F103*1000</f>
        <v>9871515.8633370809</v>
      </c>
      <c r="M22" s="237">
        <f>'I. Datos de entrada'!G103*1000</f>
        <v>4084245.1306626666</v>
      </c>
      <c r="N22" s="238">
        <f>'I. Datos de entrada'!H103*1000</f>
        <v>32492983.797259867</v>
      </c>
    </row>
    <row r="23" spans="1:14" ht="15" customHeight="1">
      <c r="A23" s="236" t="s">
        <v>14</v>
      </c>
      <c r="B23" s="237">
        <f>'I. Datos de entrada'!C119</f>
        <v>4183.3316944857024</v>
      </c>
      <c r="C23" s="237">
        <f>'I. Datos de entrada'!D119</f>
        <v>4347.9986957044421</v>
      </c>
      <c r="D23" s="237">
        <f>'I. Datos de entrada'!E119</f>
        <v>4395.5410423346093</v>
      </c>
      <c r="E23" s="237">
        <f>'I. Datos de entrada'!F119</f>
        <v>4422.375830001577</v>
      </c>
      <c r="F23" s="237">
        <f>'I. Datos de entrada'!G119</f>
        <v>4456.8615332976051</v>
      </c>
      <c r="G23" s="238">
        <f>'I. Datos de entrada'!H119</f>
        <v>5899.0255156321273</v>
      </c>
      <c r="I23" s="248">
        <f>'I. Datos de entrada'!C104*1000</f>
        <v>2101879.1657405221</v>
      </c>
      <c r="J23" s="237">
        <f>'I. Datos de entrada'!D104*1000</f>
        <v>2704866.4427607879</v>
      </c>
      <c r="K23" s="237">
        <f>'I. Datos de entrada'!E104*1000</f>
        <v>2457739.9532876047</v>
      </c>
      <c r="L23" s="237">
        <f>'I. Datos de entrada'!F104*1000</f>
        <v>2923272.793283646</v>
      </c>
      <c r="M23" s="237">
        <f>'I. Datos de entrada'!G104*1000</f>
        <v>1287988.1585809726</v>
      </c>
      <c r="N23" s="238">
        <f>'I. Datos de entrada'!H104*1000</f>
        <v>11629729.831677111</v>
      </c>
    </row>
    <row r="24" spans="1:14" ht="15" customHeight="1">
      <c r="A24" s="236" t="s">
        <v>15</v>
      </c>
      <c r="B24" s="237">
        <f>'I. Datos de entrada'!C120</f>
        <v>1669.9463366666669</v>
      </c>
      <c r="C24" s="237">
        <f>'I. Datos de entrada'!D120</f>
        <v>1768.1050016666668</v>
      </c>
      <c r="D24" s="237">
        <f>'I. Datos de entrada'!E120</f>
        <v>1787.6421758333333</v>
      </c>
      <c r="E24" s="237">
        <f>'I. Datos de entrada'!F120</f>
        <v>1862.4063808333333</v>
      </c>
      <c r="F24" s="237">
        <f>'I. Datos de entrada'!G120</f>
        <v>1889.0118641666668</v>
      </c>
      <c r="G24" s="238">
        <f>'I. Datos de entrada'!H120</f>
        <v>2368.7178866666663</v>
      </c>
      <c r="I24" s="248">
        <f>'I. Datos de entrada'!C105*1000</f>
        <v>790556.14979970583</v>
      </c>
      <c r="J24" s="237">
        <f>'I. Datos de entrada'!D105*1000</f>
        <v>1038579.1062729738</v>
      </c>
      <c r="K24" s="237">
        <f>'I. Datos de entrada'!E105*1000</f>
        <v>991339.91261651611</v>
      </c>
      <c r="L24" s="237">
        <f>'I. Datos de entrada'!F105*1000</f>
        <v>1201607.3963746678</v>
      </c>
      <c r="M24" s="237">
        <f>'I. Datos de entrada'!G105*1000</f>
        <v>529284.94387285749</v>
      </c>
      <c r="N24" s="238">
        <f>'I. Datos de entrada'!H105*1000</f>
        <v>5459140.5518982243</v>
      </c>
    </row>
    <row r="25" spans="1:14" ht="15" customHeight="1" thickBot="1">
      <c r="A25" s="340" t="s">
        <v>16</v>
      </c>
      <c r="B25" s="338"/>
      <c r="C25" s="338"/>
      <c r="D25" s="338"/>
      <c r="E25" s="338"/>
      <c r="F25" s="338"/>
      <c r="G25" s="339"/>
      <c r="I25" s="341"/>
      <c r="J25" s="338"/>
      <c r="K25" s="338"/>
      <c r="L25" s="338"/>
      <c r="M25" s="338"/>
      <c r="N25" s="339"/>
    </row>
    <row r="26" spans="1:14">
      <c r="A26" s="231"/>
      <c r="B26" s="394">
        <f>SUM(B21:B24)-SUM('IV. Peajes transporte'!B21:B24)</f>
        <v>0</v>
      </c>
      <c r="C26" s="394">
        <f>SUM(C21:C24)-SUM('IV. Peajes transporte'!C21:C24)</f>
        <v>0</v>
      </c>
      <c r="D26" s="394">
        <f>SUM(D21:D24)-SUM('IV. Peajes transporte'!D21:D24)</f>
        <v>0</v>
      </c>
      <c r="E26" s="394">
        <f>SUM(E21:E24)-SUM('IV. Peajes transporte'!E21:E24)</f>
        <v>0</v>
      </c>
      <c r="F26" s="394">
        <f>SUM(F21:F24)-SUM('IV. Peajes transporte'!F21:F24)</f>
        <v>0</v>
      </c>
      <c r="G26" s="394">
        <f>SUM(G21:G24)-SUM('IV. Peajes transporte'!G21:G24)</f>
        <v>0</v>
      </c>
      <c r="I26" s="232"/>
      <c r="J26" s="232"/>
      <c r="K26" s="232"/>
      <c r="L26" s="232"/>
      <c r="M26" s="232"/>
      <c r="N26" s="232"/>
    </row>
    <row r="27" spans="1:14" ht="13.5" thickBot="1">
      <c r="A27" s="139"/>
      <c r="B27" s="139"/>
      <c r="C27" s="139"/>
      <c r="D27" s="139"/>
      <c r="E27" s="139"/>
      <c r="F27" s="139"/>
      <c r="G27" s="139"/>
      <c r="I27" s="139"/>
      <c r="J27" s="139"/>
      <c r="K27" s="139"/>
      <c r="L27" s="139"/>
      <c r="M27" s="139"/>
      <c r="N27" s="139"/>
    </row>
    <row r="28" spans="1:14" ht="24" customHeight="1">
      <c r="A28" s="433" t="s">
        <v>60</v>
      </c>
      <c r="B28" s="227" t="s">
        <v>123</v>
      </c>
      <c r="C28" s="227"/>
      <c r="D28" s="227"/>
      <c r="E28" s="227"/>
      <c r="F28" s="227"/>
      <c r="G28" s="228"/>
      <c r="I28" s="245" t="s">
        <v>129</v>
      </c>
      <c r="J28" s="227"/>
      <c r="K28" s="227"/>
      <c r="L28" s="227"/>
      <c r="M28" s="227"/>
      <c r="N28" s="228"/>
    </row>
    <row r="29" spans="1:14" ht="24" customHeight="1">
      <c r="A29" s="434"/>
      <c r="B29" s="229" t="s">
        <v>17</v>
      </c>
      <c r="C29" s="229" t="s">
        <v>18</v>
      </c>
      <c r="D29" s="229" t="s">
        <v>19</v>
      </c>
      <c r="E29" s="229" t="s">
        <v>20</v>
      </c>
      <c r="F29" s="229" t="s">
        <v>21</v>
      </c>
      <c r="G29" s="230" t="s">
        <v>22</v>
      </c>
      <c r="I29" s="246" t="s">
        <v>17</v>
      </c>
      <c r="J29" s="229" t="s">
        <v>18</v>
      </c>
      <c r="K29" s="229" t="s">
        <v>19</v>
      </c>
      <c r="L29" s="229" t="s">
        <v>20</v>
      </c>
      <c r="M29" s="229" t="s">
        <v>21</v>
      </c>
      <c r="N29" s="230" t="s">
        <v>22</v>
      </c>
    </row>
    <row r="30" spans="1:14" ht="15" customHeight="1">
      <c r="A30" s="233" t="s">
        <v>12</v>
      </c>
      <c r="B30" s="284">
        <f>B12/B21</f>
        <v>8.7439767810872677</v>
      </c>
      <c r="C30" s="284">
        <f t="shared" ref="C30:G30" si="0">C12/C21</f>
        <v>7.9683174115738025</v>
      </c>
      <c r="D30" s="284">
        <f t="shared" si="0"/>
        <v>3.8236571732161173</v>
      </c>
      <c r="E30" s="284">
        <f t="shared" si="0"/>
        <v>3.037822652965954</v>
      </c>
      <c r="F30" s="284">
        <f t="shared" si="0"/>
        <v>0.17951743145583168</v>
      </c>
      <c r="G30" s="285">
        <f t="shared" si="0"/>
        <v>1.6346899080921982</v>
      </c>
      <c r="I30" s="291">
        <f>I12/I21</f>
        <v>1.241330825370596E-2</v>
      </c>
      <c r="J30" s="292">
        <f t="shared" ref="J30:N30" si="1">J12/J21</f>
        <v>9.5334172804772636E-3</v>
      </c>
      <c r="K30" s="292">
        <f t="shared" si="1"/>
        <v>7.4528191545445589E-3</v>
      </c>
      <c r="L30" s="292">
        <f t="shared" si="1"/>
        <v>4.7160551660147135E-3</v>
      </c>
      <c r="M30" s="292">
        <f t="shared" si="1"/>
        <v>4.4791890177139682E-4</v>
      </c>
      <c r="N30" s="293">
        <f t="shared" si="1"/>
        <v>7.5552551767393058E-5</v>
      </c>
    </row>
    <row r="31" spans="1:14" ht="15" customHeight="1">
      <c r="A31" s="236" t="s">
        <v>13</v>
      </c>
      <c r="B31" s="286">
        <f t="shared" ref="B31:G33" si="2">B13/B22</f>
        <v>12.147721708386838</v>
      </c>
      <c r="C31" s="286">
        <f t="shared" si="2"/>
        <v>10.988309004106233</v>
      </c>
      <c r="D31" s="286">
        <f t="shared" si="2"/>
        <v>8.4652294504847987</v>
      </c>
      <c r="E31" s="286">
        <f t="shared" si="2"/>
        <v>6.1204828347333757</v>
      </c>
      <c r="F31" s="286">
        <f t="shared" si="2"/>
        <v>0.23874755035889414</v>
      </c>
      <c r="G31" s="287">
        <f t="shared" si="2"/>
        <v>0.25720058410916241</v>
      </c>
      <c r="I31" s="294">
        <f t="shared" ref="I31:N33" si="3">I13/I22</f>
        <v>1.2219154063338364E-2</v>
      </c>
      <c r="J31" s="295">
        <f t="shared" si="3"/>
        <v>9.4133954674774176E-3</v>
      </c>
      <c r="K31" s="295">
        <f t="shared" si="3"/>
        <v>6.6572619720090404E-3</v>
      </c>
      <c r="L31" s="295">
        <f t="shared" si="3"/>
        <v>4.3208486461786648E-3</v>
      </c>
      <c r="M31" s="295">
        <f t="shared" si="3"/>
        <v>4.1702426101943512E-4</v>
      </c>
      <c r="N31" s="296">
        <f t="shared" si="3"/>
        <v>7.180283953240612E-5</v>
      </c>
    </row>
    <row r="32" spans="1:14" ht="15" customHeight="1">
      <c r="A32" s="236" t="s">
        <v>14</v>
      </c>
      <c r="B32" s="286">
        <f t="shared" si="2"/>
        <v>6.7909575459206577</v>
      </c>
      <c r="C32" s="286">
        <f t="shared" si="2"/>
        <v>6.6856706184897936</v>
      </c>
      <c r="D32" s="286">
        <f t="shared" si="2"/>
        <v>4.6662608207496152</v>
      </c>
      <c r="E32" s="286">
        <f t="shared" si="2"/>
        <v>3.0067200163140781</v>
      </c>
      <c r="F32" s="286">
        <f t="shared" si="2"/>
        <v>8.4971787271943558E-2</v>
      </c>
      <c r="G32" s="287">
        <f t="shared" si="2"/>
        <v>0.1270759752641567</v>
      </c>
      <c r="I32" s="294">
        <f t="shared" si="3"/>
        <v>5.4731791463108019E-3</v>
      </c>
      <c r="J32" s="295">
        <f t="shared" si="3"/>
        <v>4.220151705552364E-3</v>
      </c>
      <c r="K32" s="295">
        <f t="shared" si="3"/>
        <v>3.3547886150714994E-3</v>
      </c>
      <c r="L32" s="295">
        <f t="shared" si="3"/>
        <v>1.8764309856682984E-3</v>
      </c>
      <c r="M32" s="295">
        <f t="shared" si="3"/>
        <v>1.1304697001062575E-4</v>
      </c>
      <c r="N32" s="296">
        <f t="shared" si="3"/>
        <v>2.4253353368452002E-5</v>
      </c>
    </row>
    <row r="33" spans="1:14" ht="15" customHeight="1">
      <c r="A33" s="236" t="s">
        <v>15</v>
      </c>
      <c r="B33" s="286">
        <f t="shared" si="2"/>
        <v>4.5432754538060554</v>
      </c>
      <c r="C33" s="286">
        <f t="shared" si="2"/>
        <v>4.3924594165248099</v>
      </c>
      <c r="D33" s="286">
        <f t="shared" si="2"/>
        <v>4.0035474435931029</v>
      </c>
      <c r="E33" s="286">
        <f t="shared" si="2"/>
        <v>2.4975476119322253</v>
      </c>
      <c r="F33" s="286">
        <f t="shared" si="2"/>
        <v>9.6730077631366443E-2</v>
      </c>
      <c r="G33" s="287">
        <f t="shared" si="2"/>
        <v>0.1903471124802795</v>
      </c>
      <c r="I33" s="294">
        <f t="shared" si="3"/>
        <v>3.9851352055084574E-3</v>
      </c>
      <c r="J33" s="295">
        <f t="shared" si="3"/>
        <v>2.938691096346049E-3</v>
      </c>
      <c r="K33" s="295">
        <f t="shared" si="3"/>
        <v>2.6611206000904703E-3</v>
      </c>
      <c r="L33" s="295">
        <f t="shared" si="3"/>
        <v>1.6241971466116969E-3</v>
      </c>
      <c r="M33" s="295">
        <f t="shared" si="3"/>
        <v>1.2936400728633032E-4</v>
      </c>
      <c r="N33" s="296">
        <f t="shared" si="3"/>
        <v>4.1233168328985411E-5</v>
      </c>
    </row>
    <row r="34" spans="1:14" ht="15" customHeight="1" thickBot="1">
      <c r="A34" s="340" t="s">
        <v>16</v>
      </c>
      <c r="B34" s="345"/>
      <c r="C34" s="345"/>
      <c r="D34" s="345"/>
      <c r="E34" s="345"/>
      <c r="F34" s="345"/>
      <c r="G34" s="346"/>
      <c r="I34" s="342"/>
      <c r="J34" s="343"/>
      <c r="K34" s="343"/>
      <c r="L34" s="343"/>
      <c r="M34" s="343"/>
      <c r="N34" s="344"/>
    </row>
    <row r="36" spans="1:14">
      <c r="D36" s="300"/>
      <c r="E36" s="301"/>
      <c r="F36" s="302"/>
      <c r="I36" s="300"/>
      <c r="J36" s="273"/>
      <c r="K36" s="128"/>
    </row>
    <row r="37" spans="1:14" ht="15">
      <c r="A37" s="290" t="s">
        <v>132</v>
      </c>
      <c r="B37" s="274"/>
      <c r="C37" s="53"/>
    </row>
    <row r="38" spans="1:14" ht="13.5" thickBot="1">
      <c r="A38" s="272"/>
      <c r="B38" s="274"/>
      <c r="C38" s="53"/>
    </row>
    <row r="39" spans="1:14" ht="18" customHeight="1">
      <c r="A39" s="433" t="s">
        <v>60</v>
      </c>
      <c r="B39" s="227" t="s">
        <v>112</v>
      </c>
      <c r="C39" s="227"/>
      <c r="D39" s="227"/>
      <c r="E39" s="227"/>
      <c r="F39" s="227"/>
      <c r="G39" s="228"/>
      <c r="I39" s="245" t="s">
        <v>113</v>
      </c>
      <c r="J39" s="227"/>
      <c r="K39" s="227"/>
      <c r="L39" s="227"/>
      <c r="M39" s="227"/>
      <c r="N39" s="228"/>
    </row>
    <row r="40" spans="1:14" ht="18" customHeight="1">
      <c r="A40" s="434"/>
      <c r="B40" s="229" t="s">
        <v>17</v>
      </c>
      <c r="C40" s="229" t="s">
        <v>18</v>
      </c>
      <c r="D40" s="229" t="s">
        <v>19</v>
      </c>
      <c r="E40" s="229" t="s">
        <v>20</v>
      </c>
      <c r="F40" s="229" t="s">
        <v>21</v>
      </c>
      <c r="G40" s="230" t="s">
        <v>22</v>
      </c>
      <c r="I40" s="246" t="s">
        <v>17</v>
      </c>
      <c r="J40" s="229" t="s">
        <v>18</v>
      </c>
      <c r="K40" s="229" t="s">
        <v>19</v>
      </c>
      <c r="L40" s="229" t="s">
        <v>20</v>
      </c>
      <c r="M40" s="229" t="s">
        <v>21</v>
      </c>
      <c r="N40" s="230" t="s">
        <v>22</v>
      </c>
    </row>
    <row r="41" spans="1:14" ht="15" customHeight="1">
      <c r="A41" s="233" t="s">
        <v>12</v>
      </c>
      <c r="B41" s="275">
        <f>B30/$G30</f>
        <v>5.3490125177882355</v>
      </c>
      <c r="C41" s="275">
        <f t="shared" ref="C41:G41" si="4">C30/$G30</f>
        <v>4.8745131245554747</v>
      </c>
      <c r="D41" s="275">
        <f t="shared" si="4"/>
        <v>2.3390718657329956</v>
      </c>
      <c r="E41" s="275">
        <f t="shared" si="4"/>
        <v>1.8583479581832825</v>
      </c>
      <c r="F41" s="275">
        <f t="shared" si="4"/>
        <v>0.10981742198759982</v>
      </c>
      <c r="G41" s="278">
        <f t="shared" si="4"/>
        <v>1</v>
      </c>
      <c r="I41" s="277">
        <f>I30/$N30</f>
        <v>164.30031763749497</v>
      </c>
      <c r="J41" s="275">
        <f t="shared" ref="J41:N41" si="5">J30/$N30</f>
        <v>126.18259817124658</v>
      </c>
      <c r="K41" s="275">
        <f t="shared" si="5"/>
        <v>98.644175215813746</v>
      </c>
      <c r="L41" s="275">
        <f t="shared" si="5"/>
        <v>62.420858802151891</v>
      </c>
      <c r="M41" s="275">
        <f t="shared" si="5"/>
        <v>5.9285741023072829</v>
      </c>
      <c r="N41" s="278">
        <f t="shared" si="5"/>
        <v>1</v>
      </c>
    </row>
    <row r="42" spans="1:14" ht="15" customHeight="1">
      <c r="A42" s="236" t="s">
        <v>13</v>
      </c>
      <c r="B42" s="276">
        <f t="shared" ref="B42:G44" si="6">B31/$G31</f>
        <v>47.23053701631968</v>
      </c>
      <c r="C42" s="276">
        <f t="shared" si="6"/>
        <v>42.722721809381731</v>
      </c>
      <c r="D42" s="276">
        <f t="shared" si="6"/>
        <v>32.912948000506645</v>
      </c>
      <c r="E42" s="276">
        <f t="shared" si="6"/>
        <v>23.796535516947692</v>
      </c>
      <c r="F42" s="276">
        <f t="shared" si="6"/>
        <v>0.92825430854217528</v>
      </c>
      <c r="G42" s="280">
        <f t="shared" si="6"/>
        <v>1</v>
      </c>
      <c r="I42" s="279">
        <f t="shared" ref="I42:N44" si="7">I31/$N31</f>
        <v>170.17647411873739</v>
      </c>
      <c r="J42" s="276">
        <f t="shared" si="7"/>
        <v>131.10060171407227</v>
      </c>
      <c r="K42" s="276">
        <f t="shared" si="7"/>
        <v>92.715859363813593</v>
      </c>
      <c r="L42" s="276">
        <f t="shared" si="7"/>
        <v>60.176570652593419</v>
      </c>
      <c r="M42" s="276">
        <f t="shared" si="7"/>
        <v>5.8079076501037727</v>
      </c>
      <c r="N42" s="280">
        <f t="shared" si="7"/>
        <v>1</v>
      </c>
    </row>
    <row r="43" spans="1:14" ht="15" customHeight="1">
      <c r="A43" s="236" t="s">
        <v>14</v>
      </c>
      <c r="B43" s="276">
        <f t="shared" si="6"/>
        <v>53.440137144759952</v>
      </c>
      <c r="C43" s="276">
        <f t="shared" si="6"/>
        <v>52.611601875115156</v>
      </c>
      <c r="D43" s="276">
        <f t="shared" si="6"/>
        <v>36.720244019766255</v>
      </c>
      <c r="E43" s="276">
        <f t="shared" si="6"/>
        <v>23.660806144229209</v>
      </c>
      <c r="F43" s="276">
        <f t="shared" si="6"/>
        <v>0.66866917287323679</v>
      </c>
      <c r="G43" s="280">
        <f t="shared" si="6"/>
        <v>1</v>
      </c>
      <c r="I43" s="279">
        <f t="shared" si="7"/>
        <v>225.66690317678464</v>
      </c>
      <c r="J43" s="276">
        <f t="shared" si="7"/>
        <v>174.0028127838934</v>
      </c>
      <c r="K43" s="276">
        <f t="shared" si="7"/>
        <v>138.32267085323147</v>
      </c>
      <c r="L43" s="276">
        <f t="shared" si="7"/>
        <v>77.367898663823567</v>
      </c>
      <c r="M43" s="276">
        <f t="shared" si="7"/>
        <v>4.6610861720125554</v>
      </c>
      <c r="N43" s="280">
        <f t="shared" si="7"/>
        <v>1</v>
      </c>
    </row>
    <row r="44" spans="1:14" ht="15" customHeight="1">
      <c r="A44" s="236" t="s">
        <v>15</v>
      </c>
      <c r="B44" s="276">
        <f t="shared" si="6"/>
        <v>23.868370760164549</v>
      </c>
      <c r="C44" s="276">
        <f t="shared" si="6"/>
        <v>23.076049640521241</v>
      </c>
      <c r="D44" s="276">
        <f t="shared" si="6"/>
        <v>21.032877207464242</v>
      </c>
      <c r="E44" s="276">
        <f t="shared" si="6"/>
        <v>13.121016543873122</v>
      </c>
      <c r="F44" s="276">
        <f t="shared" si="6"/>
        <v>0.50817727871436957</v>
      </c>
      <c r="G44" s="280">
        <f t="shared" si="6"/>
        <v>1</v>
      </c>
      <c r="I44" s="279">
        <f t="shared" si="7"/>
        <v>96.648774930716471</v>
      </c>
      <c r="J44" s="276">
        <f t="shared" si="7"/>
        <v>71.270077353727302</v>
      </c>
      <c r="K44" s="276">
        <f t="shared" si="7"/>
        <v>64.538348808374252</v>
      </c>
      <c r="L44" s="276">
        <f t="shared" si="7"/>
        <v>39.390549221267229</v>
      </c>
      <c r="M44" s="276">
        <f t="shared" si="7"/>
        <v>3.1373773233766307</v>
      </c>
      <c r="N44" s="280">
        <f t="shared" si="7"/>
        <v>1</v>
      </c>
    </row>
    <row r="45" spans="1:14" ht="15" customHeight="1" thickBot="1">
      <c r="A45" s="239" t="s">
        <v>16</v>
      </c>
      <c r="B45" s="282"/>
      <c r="C45" s="282"/>
      <c r="D45" s="282"/>
      <c r="E45" s="282"/>
      <c r="F45" s="282"/>
      <c r="G45" s="283"/>
      <c r="I45" s="281"/>
      <c r="J45" s="282"/>
      <c r="K45" s="282"/>
      <c r="L45" s="282"/>
      <c r="M45" s="282"/>
      <c r="N45" s="283"/>
    </row>
    <row r="67" spans="1:14" ht="15">
      <c r="A67" s="290" t="s">
        <v>150</v>
      </c>
      <c r="B67" s="274"/>
      <c r="C67" s="53"/>
    </row>
    <row r="68" spans="1:14" ht="13.5" thickBot="1">
      <c r="A68" s="272"/>
      <c r="B68" s="274"/>
      <c r="C68" s="53"/>
    </row>
    <row r="69" spans="1:14" ht="18" customHeight="1">
      <c r="A69" s="433" t="s">
        <v>60</v>
      </c>
      <c r="B69" s="227" t="s">
        <v>112</v>
      </c>
      <c r="C69" s="227"/>
      <c r="D69" s="227"/>
      <c r="E69" s="227"/>
      <c r="F69" s="227"/>
      <c r="G69" s="228"/>
      <c r="I69" s="245" t="s">
        <v>113</v>
      </c>
      <c r="J69" s="227"/>
      <c r="K69" s="227"/>
      <c r="L69" s="227"/>
      <c r="M69" s="227"/>
      <c r="N69" s="228"/>
    </row>
    <row r="70" spans="1:14" ht="18" customHeight="1">
      <c r="A70" s="434"/>
      <c r="B70" s="229" t="s">
        <v>17</v>
      </c>
      <c r="C70" s="229" t="s">
        <v>18</v>
      </c>
      <c r="D70" s="229" t="s">
        <v>19</v>
      </c>
      <c r="E70" s="229" t="s">
        <v>20</v>
      </c>
      <c r="F70" s="229" t="s">
        <v>21</v>
      </c>
      <c r="G70" s="230" t="s">
        <v>22</v>
      </c>
      <c r="I70" s="246" t="s">
        <v>17</v>
      </c>
      <c r="J70" s="229" t="s">
        <v>18</v>
      </c>
      <c r="K70" s="229" t="s">
        <v>19</v>
      </c>
      <c r="L70" s="229" t="s">
        <v>20</v>
      </c>
      <c r="M70" s="229" t="s">
        <v>21</v>
      </c>
      <c r="N70" s="230" t="s">
        <v>22</v>
      </c>
    </row>
    <row r="71" spans="1:14" ht="18" customHeight="1">
      <c r="A71" s="233" t="s">
        <v>12</v>
      </c>
      <c r="B71" s="275">
        <f>B30/B$33</f>
        <v>1.9245975442149656</v>
      </c>
      <c r="C71" s="275">
        <f t="shared" ref="C71:G71" si="8">C30/C$33</f>
        <v>1.8140901613333769</v>
      </c>
      <c r="D71" s="275">
        <f t="shared" si="8"/>
        <v>0.95506728147686504</v>
      </c>
      <c r="E71" s="275">
        <f t="shared" si="8"/>
        <v>1.2163222188247877</v>
      </c>
      <c r="F71" s="275">
        <f t="shared" si="8"/>
        <v>1.8558594787855311</v>
      </c>
      <c r="G71" s="278">
        <f t="shared" si="8"/>
        <v>8.5879417175900503</v>
      </c>
      <c r="I71" s="277">
        <f>I30/I$33</f>
        <v>3.1149026604035046</v>
      </c>
      <c r="J71" s="275">
        <f t="shared" ref="J71:N71" si="9">J30/J$33</f>
        <v>3.2441032309694129</v>
      </c>
      <c r="K71" s="275">
        <f t="shared" si="9"/>
        <v>2.8006318670003849</v>
      </c>
      <c r="L71" s="275">
        <f t="shared" si="9"/>
        <v>2.9036223686595348</v>
      </c>
      <c r="M71" s="275">
        <f t="shared" si="9"/>
        <v>3.46246928467504</v>
      </c>
      <c r="N71" s="278">
        <f t="shared" si="9"/>
        <v>1.8323246752368136</v>
      </c>
    </row>
    <row r="72" spans="1:14" ht="18" customHeight="1">
      <c r="A72" s="236" t="s">
        <v>13</v>
      </c>
      <c r="B72" s="276">
        <f t="shared" ref="B72:G72" si="10">B31/B$33</f>
        <v>2.6737805866933031</v>
      </c>
      <c r="C72" s="276">
        <f t="shared" si="10"/>
        <v>2.5016301716453588</v>
      </c>
      <c r="D72" s="276">
        <f t="shared" si="10"/>
        <v>2.1144321554205003</v>
      </c>
      <c r="E72" s="276">
        <f t="shared" si="10"/>
        <v>2.4505970598887883</v>
      </c>
      <c r="F72" s="276">
        <f t="shared" si="10"/>
        <v>2.4681831774057836</v>
      </c>
      <c r="G72" s="280">
        <f t="shared" si="10"/>
        <v>1.351218732754925</v>
      </c>
      <c r="I72" s="279">
        <f t="shared" ref="I72:N72" si="11">I31/I$33</f>
        <v>3.0661830611037799</v>
      </c>
      <c r="J72" s="276">
        <f t="shared" si="11"/>
        <v>3.2032613020068621</v>
      </c>
      <c r="K72" s="276">
        <f t="shared" si="11"/>
        <v>2.5016761629603383</v>
      </c>
      <c r="L72" s="276">
        <f t="shared" si="11"/>
        <v>2.6602981388020299</v>
      </c>
      <c r="M72" s="276">
        <f t="shared" si="11"/>
        <v>3.2236498371328777</v>
      </c>
      <c r="N72" s="280">
        <f t="shared" si="11"/>
        <v>1.741385453562911</v>
      </c>
    </row>
    <row r="73" spans="1:14" ht="18" customHeight="1">
      <c r="A73" s="236" t="s">
        <v>14</v>
      </c>
      <c r="B73" s="276">
        <f t="shared" ref="B73:G73" si="12">B32/B$33</f>
        <v>1.4947272325809879</v>
      </c>
      <c r="C73" s="276">
        <f t="shared" si="12"/>
        <v>1.5220790870230301</v>
      </c>
      <c r="D73" s="276">
        <f t="shared" si="12"/>
        <v>1.1655315408381275</v>
      </c>
      <c r="E73" s="276">
        <f t="shared" si="12"/>
        <v>1.2038689480629889</v>
      </c>
      <c r="F73" s="276">
        <f t="shared" si="12"/>
        <v>0.87844225242707707</v>
      </c>
      <c r="G73" s="280">
        <f t="shared" si="12"/>
        <v>0.66760127646970291</v>
      </c>
      <c r="I73" s="279">
        <f t="shared" ref="I73:N73" si="13">I32/I$33</f>
        <v>1.3733986085956367</v>
      </c>
      <c r="J73" s="276">
        <f t="shared" si="13"/>
        <v>1.436065094014024</v>
      </c>
      <c r="K73" s="276">
        <f t="shared" si="13"/>
        <v>1.2606676356409576</v>
      </c>
      <c r="L73" s="276">
        <f t="shared" si="13"/>
        <v>1.1552975509055639</v>
      </c>
      <c r="M73" s="276">
        <f t="shared" si="13"/>
        <v>0.87386725552194022</v>
      </c>
      <c r="N73" s="280">
        <f t="shared" si="13"/>
        <v>0.58820009112428018</v>
      </c>
    </row>
    <row r="74" spans="1:14" ht="18" customHeight="1">
      <c r="A74" s="236" t="s">
        <v>15</v>
      </c>
      <c r="B74" s="276">
        <f t="shared" ref="B74:G74" si="14">B33/B$33</f>
        <v>1</v>
      </c>
      <c r="C74" s="276">
        <f t="shared" si="14"/>
        <v>1</v>
      </c>
      <c r="D74" s="276">
        <f t="shared" si="14"/>
        <v>1</v>
      </c>
      <c r="E74" s="276">
        <f t="shared" si="14"/>
        <v>1</v>
      </c>
      <c r="F74" s="276">
        <f t="shared" si="14"/>
        <v>1</v>
      </c>
      <c r="G74" s="280">
        <f t="shared" si="14"/>
        <v>1</v>
      </c>
      <c r="I74" s="279">
        <f t="shared" ref="I74:N74" si="15">I33/I$33</f>
        <v>1</v>
      </c>
      <c r="J74" s="276">
        <f t="shared" si="15"/>
        <v>1</v>
      </c>
      <c r="K74" s="276">
        <f t="shared" si="15"/>
        <v>1</v>
      </c>
      <c r="L74" s="276">
        <f t="shared" si="15"/>
        <v>1</v>
      </c>
      <c r="M74" s="276">
        <f t="shared" si="15"/>
        <v>1</v>
      </c>
      <c r="N74" s="280">
        <f t="shared" si="15"/>
        <v>1</v>
      </c>
    </row>
    <row r="75" spans="1:14" ht="18" customHeight="1" thickBot="1">
      <c r="A75" s="340" t="s">
        <v>16</v>
      </c>
      <c r="B75" s="353"/>
      <c r="C75" s="353"/>
      <c r="D75" s="353"/>
      <c r="E75" s="353"/>
      <c r="F75" s="353"/>
      <c r="G75" s="354"/>
      <c r="I75" s="355"/>
      <c r="J75" s="353"/>
      <c r="K75" s="353"/>
      <c r="L75" s="353"/>
      <c r="M75" s="353"/>
      <c r="N75" s="354"/>
    </row>
    <row r="78" spans="1:14" ht="15">
      <c r="A78" s="290" t="s">
        <v>142</v>
      </c>
      <c r="C78" s="396"/>
      <c r="D78" s="391"/>
    </row>
    <row r="79" spans="1:14" ht="13.5" thickBot="1"/>
    <row r="80" spans="1:14" ht="18" customHeight="1">
      <c r="A80" s="433" t="s">
        <v>114</v>
      </c>
      <c r="B80" s="227" t="s">
        <v>143</v>
      </c>
      <c r="C80" s="227"/>
      <c r="D80" s="227"/>
      <c r="E80" s="227"/>
      <c r="F80" s="227"/>
      <c r="G80" s="228"/>
      <c r="I80" s="245" t="s">
        <v>144</v>
      </c>
      <c r="J80" s="227"/>
      <c r="K80" s="227"/>
      <c r="L80" s="227"/>
      <c r="M80" s="227"/>
      <c r="N80" s="228"/>
    </row>
    <row r="81" spans="1:14" ht="18" customHeight="1">
      <c r="A81" s="434"/>
      <c r="B81" s="229" t="s">
        <v>17</v>
      </c>
      <c r="C81" s="229" t="s">
        <v>18</v>
      </c>
      <c r="D81" s="229" t="s">
        <v>19</v>
      </c>
      <c r="E81" s="229" t="s">
        <v>20</v>
      </c>
      <c r="F81" s="229" t="s">
        <v>21</v>
      </c>
      <c r="G81" s="230" t="s">
        <v>22</v>
      </c>
      <c r="I81" s="246" t="s">
        <v>17</v>
      </c>
      <c r="J81" s="229" t="s">
        <v>18</v>
      </c>
      <c r="K81" s="229" t="s">
        <v>19</v>
      </c>
      <c r="L81" s="229" t="s">
        <v>20</v>
      </c>
      <c r="M81" s="229" t="s">
        <v>21</v>
      </c>
      <c r="N81" s="230" t="s">
        <v>22</v>
      </c>
    </row>
    <row r="82" spans="1:14" ht="18" customHeight="1">
      <c r="A82" s="309" t="s">
        <v>115</v>
      </c>
      <c r="B82" s="310">
        <f>SUMPRODUCT(B83:F83,'I. Datos de entrada'!C116:G116)/'I. Datos de entrada'!C116</f>
        <v>24.480973647033402</v>
      </c>
      <c r="C82" s="310">
        <f>G83</f>
        <v>0.90719962819026123</v>
      </c>
      <c r="D82" s="310"/>
      <c r="E82" s="310"/>
      <c r="F82" s="310"/>
      <c r="G82" s="311"/>
      <c r="I82" s="320">
        <f>I30</f>
        <v>1.241330825370596E-2</v>
      </c>
      <c r="J82" s="318">
        <f t="shared" ref="J82:N82" si="16">J30</f>
        <v>9.5334172804772636E-3</v>
      </c>
      <c r="K82" s="318">
        <f t="shared" si="16"/>
        <v>7.4528191545445589E-3</v>
      </c>
      <c r="L82" s="318">
        <f t="shared" si="16"/>
        <v>4.7160551660147135E-3</v>
      </c>
      <c r="M82" s="318">
        <f t="shared" si="16"/>
        <v>4.4791890177139682E-4</v>
      </c>
      <c r="N82" s="321">
        <f t="shared" si="16"/>
        <v>7.5552551767393058E-5</v>
      </c>
    </row>
    <row r="83" spans="1:14" ht="18" customHeight="1">
      <c r="A83" s="312" t="s">
        <v>116</v>
      </c>
      <c r="B83" s="313">
        <f>B30</f>
        <v>8.7439767810872677</v>
      </c>
      <c r="C83" s="313">
        <f t="shared" ref="C83:E86" si="17">C30</f>
        <v>7.9683174115738025</v>
      </c>
      <c r="D83" s="313">
        <f t="shared" si="17"/>
        <v>3.8236571732161173</v>
      </c>
      <c r="E83" s="313">
        <f t="shared" si="17"/>
        <v>3.037822652965954</v>
      </c>
      <c r="F83" s="313">
        <f>SUM(F12:G12)/SUM(F21:G21)</f>
        <v>0.90719962819026123</v>
      </c>
      <c r="G83" s="314">
        <f>F83</f>
        <v>0.90719962819026123</v>
      </c>
      <c r="I83" s="322">
        <f>I30</f>
        <v>1.241330825370596E-2</v>
      </c>
      <c r="J83" s="319">
        <f t="shared" ref="J83:N83" si="18">J30</f>
        <v>9.5334172804772636E-3</v>
      </c>
      <c r="K83" s="319">
        <f t="shared" si="18"/>
        <v>7.4528191545445589E-3</v>
      </c>
      <c r="L83" s="319">
        <f t="shared" si="18"/>
        <v>4.7160551660147135E-3</v>
      </c>
      <c r="M83" s="319">
        <f t="shared" si="18"/>
        <v>4.4791890177139682E-4</v>
      </c>
      <c r="N83" s="323">
        <f t="shared" si="18"/>
        <v>7.5552551767393058E-5</v>
      </c>
    </row>
    <row r="84" spans="1:14" ht="18" customHeight="1">
      <c r="A84" s="312" t="s">
        <v>117</v>
      </c>
      <c r="B84" s="313">
        <f t="shared" ref="B84:B86" si="19">B31</f>
        <v>12.147721708386838</v>
      </c>
      <c r="C84" s="313">
        <f t="shared" si="17"/>
        <v>10.988309004106233</v>
      </c>
      <c r="D84" s="313">
        <f t="shared" si="17"/>
        <v>8.4652294504847987</v>
      </c>
      <c r="E84" s="313">
        <f t="shared" si="17"/>
        <v>6.1204828347333757</v>
      </c>
      <c r="F84" s="313">
        <f>SUM(F13:G13)/SUM(F22:G22)</f>
        <v>0.24911995183298632</v>
      </c>
      <c r="G84" s="314">
        <f t="shared" ref="G84:G85" si="20">F84</f>
        <v>0.24911995183298632</v>
      </c>
      <c r="I84" s="322">
        <f t="shared" ref="I84:N86" si="21">I31</f>
        <v>1.2219154063338364E-2</v>
      </c>
      <c r="J84" s="319">
        <f t="shared" si="21"/>
        <v>9.4133954674774176E-3</v>
      </c>
      <c r="K84" s="319">
        <f t="shared" si="21"/>
        <v>6.6572619720090404E-3</v>
      </c>
      <c r="L84" s="319">
        <f t="shared" si="21"/>
        <v>4.3208486461786648E-3</v>
      </c>
      <c r="M84" s="319">
        <f t="shared" si="21"/>
        <v>4.1702426101943512E-4</v>
      </c>
      <c r="N84" s="323">
        <f t="shared" si="21"/>
        <v>7.180283953240612E-5</v>
      </c>
    </row>
    <row r="85" spans="1:14" ht="18" customHeight="1">
      <c r="A85" s="312" t="s">
        <v>118</v>
      </c>
      <c r="B85" s="313">
        <f t="shared" si="19"/>
        <v>6.7909575459206577</v>
      </c>
      <c r="C85" s="313">
        <f t="shared" si="17"/>
        <v>6.6856706184897936</v>
      </c>
      <c r="D85" s="313">
        <f t="shared" si="17"/>
        <v>4.6662608207496152</v>
      </c>
      <c r="E85" s="313">
        <f t="shared" si="17"/>
        <v>3.0067200163140781</v>
      </c>
      <c r="F85" s="313">
        <f t="shared" ref="F85:F86" si="22">SUM(F14:G14)/SUM(F23:G23)</f>
        <v>0.10895560228532826</v>
      </c>
      <c r="G85" s="314">
        <f t="shared" si="20"/>
        <v>0.10895560228532826</v>
      </c>
      <c r="I85" s="322">
        <f t="shared" si="21"/>
        <v>5.4731791463108019E-3</v>
      </c>
      <c r="J85" s="319">
        <f t="shared" si="21"/>
        <v>4.220151705552364E-3</v>
      </c>
      <c r="K85" s="319">
        <f t="shared" si="21"/>
        <v>3.3547886150714994E-3</v>
      </c>
      <c r="L85" s="319">
        <f t="shared" si="21"/>
        <v>1.8764309856682984E-3</v>
      </c>
      <c r="M85" s="319">
        <f t="shared" si="21"/>
        <v>1.1304697001062575E-4</v>
      </c>
      <c r="N85" s="323">
        <f t="shared" si="21"/>
        <v>2.4253353368452002E-5</v>
      </c>
    </row>
    <row r="86" spans="1:14" ht="18" customHeight="1">
      <c r="A86" s="312" t="s">
        <v>119</v>
      </c>
      <c r="B86" s="313">
        <f t="shared" si="19"/>
        <v>4.5432754538060554</v>
      </c>
      <c r="C86" s="313">
        <f t="shared" si="17"/>
        <v>4.3924594165248099</v>
      </c>
      <c r="D86" s="313">
        <f t="shared" si="17"/>
        <v>4.0035474435931029</v>
      </c>
      <c r="E86" s="313">
        <f t="shared" si="17"/>
        <v>2.4975476119322253</v>
      </c>
      <c r="F86" s="313">
        <f t="shared" si="22"/>
        <v>0.14881237451738064</v>
      </c>
      <c r="G86" s="314">
        <f t="shared" ref="G86" si="23">F86</f>
        <v>0.14881237451738064</v>
      </c>
      <c r="I86" s="322">
        <f t="shared" si="21"/>
        <v>3.9851352055084574E-3</v>
      </c>
      <c r="J86" s="319">
        <f t="shared" si="21"/>
        <v>2.938691096346049E-3</v>
      </c>
      <c r="K86" s="319">
        <f t="shared" si="21"/>
        <v>2.6611206000904703E-3</v>
      </c>
      <c r="L86" s="319">
        <f t="shared" si="21"/>
        <v>1.6241971466116969E-3</v>
      </c>
      <c r="M86" s="319">
        <f t="shared" si="21"/>
        <v>1.2936400728633032E-4</v>
      </c>
      <c r="N86" s="323">
        <f t="shared" si="21"/>
        <v>4.1233168328985411E-5</v>
      </c>
    </row>
    <row r="87" spans="1:14" ht="18" customHeight="1" thickBot="1">
      <c r="A87" s="347" t="s">
        <v>120</v>
      </c>
      <c r="B87" s="348"/>
      <c r="C87" s="348"/>
      <c r="D87" s="348"/>
      <c r="E87" s="348"/>
      <c r="F87" s="348"/>
      <c r="G87" s="349"/>
      <c r="I87" s="350"/>
      <c r="J87" s="351"/>
      <c r="K87" s="351"/>
      <c r="L87" s="351"/>
      <c r="M87" s="351"/>
      <c r="N87" s="352"/>
    </row>
    <row r="90" spans="1:14" ht="15">
      <c r="A90" s="290" t="s">
        <v>151</v>
      </c>
    </row>
    <row r="91" spans="1:14" ht="13.5" thickBot="1"/>
    <row r="92" spans="1:14" ht="22.5" customHeight="1">
      <c r="A92" s="433" t="s">
        <v>114</v>
      </c>
      <c r="B92" s="227" t="s">
        <v>147</v>
      </c>
      <c r="C92" s="227"/>
      <c r="D92" s="227"/>
      <c r="E92" s="435" t="s">
        <v>146</v>
      </c>
    </row>
    <row r="93" spans="1:14" ht="25.5">
      <c r="A93" s="434"/>
      <c r="B93" s="328" t="s">
        <v>112</v>
      </c>
      <c r="C93" s="328" t="s">
        <v>113</v>
      </c>
      <c r="D93" s="328" t="s">
        <v>5</v>
      </c>
      <c r="E93" s="436"/>
    </row>
    <row r="94" spans="1:14" ht="18" customHeight="1">
      <c r="A94" s="309" t="s">
        <v>115</v>
      </c>
      <c r="B94" s="329">
        <f>'I. Datos de entrada'!C116*B82+'I. Datos de entrada'!H116*C82</f>
        <v>3080102.7640557014</v>
      </c>
      <c r="C94" s="329">
        <f>SUMPRODUCT(I82:N82,'I. Datos de entrada'!C101:H101)*1000</f>
        <v>314997.0296105161</v>
      </c>
      <c r="D94" s="332">
        <f t="shared" ref="D94:D98" si="24">SUM(B94:C94)</f>
        <v>3395099.7936662175</v>
      </c>
      <c r="E94" s="334">
        <f t="shared" ref="E94:E98" si="25">B94/D94</f>
        <v>0.90722009697677697</v>
      </c>
    </row>
    <row r="95" spans="1:14" ht="18" customHeight="1">
      <c r="A95" s="312" t="s">
        <v>116</v>
      </c>
      <c r="B95" s="331">
        <f>SUMPRODUCT(B83:G83,'I. Datos de entrada'!C117:H117)</f>
        <v>534835.18239668105</v>
      </c>
      <c r="C95" s="331">
        <f>SUMPRODUCT(I83:N83,'I. Datos de entrada'!C102:H102)*1000</f>
        <v>168881.5533098898</v>
      </c>
      <c r="D95" s="332">
        <f t="shared" si="24"/>
        <v>703716.73570657079</v>
      </c>
      <c r="E95" s="334">
        <f t="shared" si="25"/>
        <v>0.76001486856736</v>
      </c>
      <c r="F95" s="390"/>
      <c r="G95" s="327"/>
    </row>
    <row r="96" spans="1:14" ht="18" customHeight="1">
      <c r="A96" s="312" t="s">
        <v>117</v>
      </c>
      <c r="B96" s="331">
        <f>SUMPRODUCT(B84:G84,'I. Datos de entrada'!C118:H118)</f>
        <v>711223.30227975489</v>
      </c>
      <c r="C96" s="331">
        <f>SUMPRODUCT(I84:N84,'I. Datos de entrada'!C103:H103)*1000</f>
        <v>278587.90159369889</v>
      </c>
      <c r="D96" s="332">
        <f t="shared" si="24"/>
        <v>989811.20387345378</v>
      </c>
      <c r="E96" s="334">
        <f t="shared" si="25"/>
        <v>0.71854440472739278</v>
      </c>
      <c r="F96" s="327"/>
      <c r="G96" s="327"/>
      <c r="I96" s="327"/>
    </row>
    <row r="97" spans="1:9" ht="18" customHeight="1">
      <c r="A97" s="312" t="s">
        <v>118</v>
      </c>
      <c r="B97" s="331">
        <f>SUMPRODUCT(B85:G85,'I. Datos de entrada'!C119:H119)</f>
        <v>92414.033857047078</v>
      </c>
      <c r="C97" s="331">
        <f>SUMPRODUCT(I85:N85,'I. Datos de entrada'!C104:H104)*1000</f>
        <v>37077.088718603074</v>
      </c>
      <c r="D97" s="332">
        <f t="shared" si="24"/>
        <v>129491.12257565015</v>
      </c>
      <c r="E97" s="334">
        <f t="shared" si="25"/>
        <v>0.71367080629838364</v>
      </c>
      <c r="F97" s="327"/>
      <c r="G97" s="327"/>
      <c r="I97" s="327"/>
    </row>
    <row r="98" spans="1:9" ht="18" customHeight="1">
      <c r="A98" s="312" t="s">
        <v>119</v>
      </c>
      <c r="B98" s="331">
        <f>SUMPRODUCT(B86:G86,'I. Datos de entrada'!C120:H120)</f>
        <v>27795.317410815562</v>
      </c>
      <c r="C98" s="331">
        <f>SUMPRODUCT(I86:N86,'I. Datos de entrada'!C105:H105)*1000</f>
        <v>11085.826767292117</v>
      </c>
      <c r="D98" s="332">
        <f t="shared" si="24"/>
        <v>38881.144178107679</v>
      </c>
      <c r="E98" s="334">
        <f t="shared" si="25"/>
        <v>0.71487910138369648</v>
      </c>
      <c r="F98" s="327"/>
      <c r="G98" s="327"/>
      <c r="I98" s="327"/>
    </row>
    <row r="99" spans="1:9" ht="18" customHeight="1" thickBot="1">
      <c r="A99" s="315" t="s">
        <v>120</v>
      </c>
      <c r="B99" s="356"/>
      <c r="C99" s="356"/>
      <c r="D99" s="357"/>
      <c r="E99" s="358"/>
      <c r="F99" s="327"/>
      <c r="G99" s="327"/>
    </row>
    <row r="100" spans="1:9" ht="7.5" customHeight="1" thickBot="1"/>
    <row r="101" spans="1:9" ht="13.5" thickBot="1">
      <c r="A101" s="387" t="s">
        <v>2</v>
      </c>
      <c r="B101" s="388">
        <f>SUM(B94:B99)</f>
        <v>4446370.5999999996</v>
      </c>
      <c r="C101" s="388">
        <f>SUM(C94:C99)</f>
        <v>810629.39999999991</v>
      </c>
      <c r="D101" s="389">
        <f>SUM(B101:C101)</f>
        <v>5257000</v>
      </c>
      <c r="E101" s="386">
        <f>B101/D101</f>
        <v>0.84579999999999989</v>
      </c>
    </row>
    <row r="102" spans="1:9">
      <c r="B102" s="327"/>
      <c r="C102" s="327"/>
      <c r="D102" s="327"/>
    </row>
  </sheetData>
  <mergeCells count="8">
    <mergeCell ref="A92:A93"/>
    <mergeCell ref="E92:E93"/>
    <mergeCell ref="A10:A11"/>
    <mergeCell ref="A19:A20"/>
    <mergeCell ref="A28:A29"/>
    <mergeCell ref="A39:A40"/>
    <mergeCell ref="A69:A70"/>
    <mergeCell ref="A80:A8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6:N88"/>
  <sheetViews>
    <sheetView showGridLines="0" zoomScaleNormal="100" workbookViewId="0"/>
  </sheetViews>
  <sheetFormatPr baseColWidth="10" defaultRowHeight="12.75"/>
  <cols>
    <col min="2" max="5" width="14.7109375" customWidth="1"/>
    <col min="8" max="8" width="2.85546875" customWidth="1"/>
    <col min="11" max="11" width="13.7109375" bestFit="1" customWidth="1"/>
  </cols>
  <sheetData>
    <row r="6" spans="1:14" ht="15">
      <c r="A6" s="97" t="s">
        <v>152</v>
      </c>
      <c r="D6" s="396"/>
      <c r="E6" s="391"/>
    </row>
    <row r="7" spans="1:14" ht="13.5" thickBot="1"/>
    <row r="8" spans="1:14" ht="24" customHeight="1">
      <c r="A8" s="433" t="s">
        <v>114</v>
      </c>
      <c r="B8" s="227" t="s">
        <v>143</v>
      </c>
      <c r="C8" s="227"/>
      <c r="D8" s="227"/>
      <c r="E8" s="227"/>
      <c r="F8" s="227"/>
      <c r="G8" s="228"/>
      <c r="I8" s="245" t="s">
        <v>144</v>
      </c>
      <c r="J8" s="227"/>
      <c r="K8" s="227"/>
      <c r="L8" s="227"/>
      <c r="M8" s="227"/>
      <c r="N8" s="228"/>
    </row>
    <row r="9" spans="1:14" ht="24" customHeight="1">
      <c r="A9" s="434"/>
      <c r="B9" s="229" t="s">
        <v>17</v>
      </c>
      <c r="C9" s="229" t="s">
        <v>18</v>
      </c>
      <c r="D9" s="229" t="s">
        <v>19</v>
      </c>
      <c r="E9" s="229" t="s">
        <v>20</v>
      </c>
      <c r="F9" s="229" t="s">
        <v>21</v>
      </c>
      <c r="G9" s="230" t="s">
        <v>22</v>
      </c>
      <c r="I9" s="246" t="s">
        <v>17</v>
      </c>
      <c r="J9" s="229" t="s">
        <v>18</v>
      </c>
      <c r="K9" s="229" t="s">
        <v>19</v>
      </c>
      <c r="L9" s="229" t="s">
        <v>20</v>
      </c>
      <c r="M9" s="229" t="s">
        <v>21</v>
      </c>
      <c r="N9" s="230" t="s">
        <v>22</v>
      </c>
    </row>
    <row r="10" spans="1:14" ht="18" customHeight="1">
      <c r="A10" s="309" t="s">
        <v>115</v>
      </c>
      <c r="B10" s="310">
        <f>'IV. Peajes transporte'!B82+'IV. Peajes distribución'!B82</f>
        <v>28.749970180195653</v>
      </c>
      <c r="C10" s="310">
        <f>'IV. Peajes transporte'!C82+'IV. Peajes distribución'!C82</f>
        <v>0.93332572079145393</v>
      </c>
      <c r="D10" s="310"/>
      <c r="E10" s="310"/>
      <c r="F10" s="310"/>
      <c r="G10" s="311"/>
      <c r="I10" s="320">
        <f>'IV. Peajes transporte'!I82+'IV. Peajes distribución'!I82</f>
        <v>1.6850590158964909E-2</v>
      </c>
      <c r="J10" s="318">
        <f>'IV. Peajes transporte'!J82+'IV. Peajes distribución'!J82</f>
        <v>1.302894333113701E-2</v>
      </c>
      <c r="K10" s="318">
        <f>'IV. Peajes transporte'!K82+'IV. Peajes distribución'!K82</f>
        <v>1.0339792198503606E-2</v>
      </c>
      <c r="L10" s="318">
        <f>'IV. Peajes transporte'!L82+'IV. Peajes distribución'!L82</f>
        <v>6.2798741571125586E-3</v>
      </c>
      <c r="M10" s="318">
        <f>'IV. Peajes transporte'!M82+'IV. Peajes distribución'!M82</f>
        <v>5.0291885555800247E-4</v>
      </c>
      <c r="N10" s="321">
        <f>'IV. Peajes transporte'!N82+'IV. Peajes distribución'!N82</f>
        <v>1.1130699626309167E-4</v>
      </c>
    </row>
    <row r="11" spans="1:14" ht="18" customHeight="1">
      <c r="A11" s="312" t="s">
        <v>116</v>
      </c>
      <c r="B11" s="313">
        <f>'IV. Peajes transporte'!B83+'IV. Peajes distribución'!B83</f>
        <v>10.206474259310795</v>
      </c>
      <c r="C11" s="313">
        <f>'IV. Peajes transporte'!C83+'IV. Peajes distribución'!C83</f>
        <v>9.2878453631169986</v>
      </c>
      <c r="D11" s="313">
        <f>'IV. Peajes transporte'!D83+'IV. Peajes distribución'!D83</f>
        <v>4.721456741098546</v>
      </c>
      <c r="E11" s="313">
        <f>'IV. Peajes transporte'!E83+'IV. Peajes distribución'!E83</f>
        <v>3.6008680958778618</v>
      </c>
      <c r="F11" s="313">
        <f>'IV. Peajes transporte'!F83+'IV. Peajes distribución'!F83</f>
        <v>0.93332572079145393</v>
      </c>
      <c r="G11" s="314">
        <f>'IV. Peajes transporte'!G83+'IV. Peajes distribución'!G83</f>
        <v>0.93332572079145393</v>
      </c>
      <c r="I11" s="322">
        <f>'IV. Peajes transporte'!I83+'IV. Peajes distribución'!I83</f>
        <v>1.6850590158964909E-2</v>
      </c>
      <c r="J11" s="319">
        <f>'IV. Peajes transporte'!J83+'IV. Peajes distribución'!J83</f>
        <v>1.302894333113701E-2</v>
      </c>
      <c r="K11" s="319">
        <f>'IV. Peajes transporte'!K83+'IV. Peajes distribución'!K83</f>
        <v>1.0339792198503606E-2</v>
      </c>
      <c r="L11" s="319">
        <f>'IV. Peajes transporte'!L83+'IV. Peajes distribución'!L83</f>
        <v>6.2798741571125586E-3</v>
      </c>
      <c r="M11" s="319">
        <f>'IV. Peajes transporte'!M83+'IV. Peajes distribución'!M83</f>
        <v>5.0291885555800247E-4</v>
      </c>
      <c r="N11" s="323">
        <f>'IV. Peajes transporte'!N83+'IV. Peajes distribución'!N83</f>
        <v>1.1130699626309167E-4</v>
      </c>
    </row>
    <row r="12" spans="1:14" ht="18" customHeight="1">
      <c r="A12" s="312" t="s">
        <v>117</v>
      </c>
      <c r="B12" s="313">
        <f>'IV. Peajes transporte'!B84+'IV. Peajes distribución'!B84</f>
        <v>16.634933939896605</v>
      </c>
      <c r="C12" s="313">
        <f>'IV. Peajes transporte'!C84+'IV. Peajes distribución'!C84</f>
        <v>15.034965070907358</v>
      </c>
      <c r="D12" s="313">
        <f>'IV. Peajes transporte'!D84+'IV. Peajes distribución'!D84</f>
        <v>11.701647652249223</v>
      </c>
      <c r="E12" s="313">
        <f>'IV. Peajes transporte'!E84+'IV. Peajes distribución'!E84</f>
        <v>8.1105405835821927</v>
      </c>
      <c r="F12" s="313">
        <f>'IV. Peajes transporte'!F84+'IV. Peajes distribución'!F84</f>
        <v>0.32926325535257178</v>
      </c>
      <c r="G12" s="314">
        <f>'IV. Peajes transporte'!G84+'IV. Peajes distribución'!G84</f>
        <v>0.32926325535257178</v>
      </c>
      <c r="I12" s="322">
        <f>'IV. Peajes transporte'!I84+'IV. Peajes distribución'!I84</f>
        <v>1.6586935723089433E-2</v>
      </c>
      <c r="J12" s="319">
        <f>'IV. Peajes transporte'!J84+'IV. Peajes distribución'!J84</f>
        <v>1.2849228497039709E-2</v>
      </c>
      <c r="K12" s="319">
        <f>'IV. Peajes transporte'!K84+'IV. Peajes distribución'!K84</f>
        <v>9.1935913969793219E-3</v>
      </c>
      <c r="L12" s="319">
        <f>'IV. Peajes transporte'!L84+'IV. Peajes distribución'!L84</f>
        <v>5.7092074800465372E-3</v>
      </c>
      <c r="M12" s="319">
        <f>'IV. Peajes transporte'!M84+'IV. Peajes distribución'!M84</f>
        <v>4.6606750037120088E-4</v>
      </c>
      <c r="N12" s="323">
        <f>'IV. Peajes transporte'!N84+'IV. Peajes distribución'!N84</f>
        <v>1.0502394062171396E-4</v>
      </c>
    </row>
    <row r="13" spans="1:14" ht="18" customHeight="1">
      <c r="A13" s="312" t="s">
        <v>118</v>
      </c>
      <c r="B13" s="313">
        <f>'IV. Peajes transporte'!B85+'IV. Peajes distribución'!B85</f>
        <v>12.376382462919814</v>
      </c>
      <c r="C13" s="313">
        <f>'IV. Peajes transporte'!C85+'IV. Peajes distribución'!C85</f>
        <v>11.723577837428586</v>
      </c>
      <c r="D13" s="313">
        <f>'IV. Peajes transporte'!D85+'IV. Peajes distribución'!D85</f>
        <v>8.4891726652647055</v>
      </c>
      <c r="E13" s="313">
        <f>'IV. Peajes transporte'!E85+'IV. Peajes distribución'!E85</f>
        <v>5.2938335220104076</v>
      </c>
      <c r="F13" s="313">
        <f>'IV. Peajes transporte'!F85+'IV. Peajes distribución'!F85</f>
        <v>0.21431459727924146</v>
      </c>
      <c r="G13" s="314">
        <f>'IV. Peajes transporte'!G85+'IV. Peajes distribución'!G85</f>
        <v>0.21431459727924146</v>
      </c>
      <c r="I13" s="322">
        <f>'IV. Peajes transporte'!I85+'IV. Peajes distribución'!I85</f>
        <v>9.7836037095551005E-3</v>
      </c>
      <c r="J13" s="319">
        <f>'IV. Peajes transporte'!J85+'IV. Peajes distribución'!J85</f>
        <v>7.4437520005970403E-3</v>
      </c>
      <c r="K13" s="319">
        <f>'IV. Peajes transporte'!K85+'IV. Peajes distribución'!K85</f>
        <v>5.8518170279073557E-3</v>
      </c>
      <c r="L13" s="319">
        <f>'IV. Peajes transporte'!L85+'IV. Peajes distribución'!L85</f>
        <v>3.2217113033613555E-3</v>
      </c>
      <c r="M13" s="319">
        <f>'IV. Peajes transporte'!M85+'IV. Peajes distribución'!M85</f>
        <v>1.5754836942394776E-4</v>
      </c>
      <c r="N13" s="323">
        <f>'IV. Peajes transporte'!N85+'IV. Peajes distribución'!N85</f>
        <v>5.2637430878111583E-5</v>
      </c>
    </row>
    <row r="14" spans="1:14" ht="18" customHeight="1">
      <c r="A14" s="312" t="s">
        <v>119</v>
      </c>
      <c r="B14" s="313">
        <f>'IV. Peajes transporte'!B86+'IV. Peajes distribución'!B86</f>
        <v>10.340517219466822</v>
      </c>
      <c r="C14" s="313">
        <f>'IV. Peajes transporte'!C86+'IV. Peajes distribución'!C86</f>
        <v>9.8939219573069686</v>
      </c>
      <c r="D14" s="313">
        <f>'IV. Peajes transporte'!D86+'IV. Peajes distribución'!D86</f>
        <v>8.8244583573432198</v>
      </c>
      <c r="E14" s="313">
        <f>'IV. Peajes transporte'!E86+'IV. Peajes distribución'!E86</f>
        <v>5.0845260873980269</v>
      </c>
      <c r="F14" s="313">
        <f>'IV. Peajes transporte'!F86+'IV. Peajes distribución'!F86</f>
        <v>0.2681715344892035</v>
      </c>
      <c r="G14" s="314">
        <f>'IV. Peajes transporte'!G86+'IV. Peajes distribución'!G86</f>
        <v>0.2681715344892035</v>
      </c>
      <c r="I14" s="322">
        <f>'IV. Peajes transporte'!I86+'IV. Peajes distribución'!I86</f>
        <v>8.840020484525115E-3</v>
      </c>
      <c r="J14" s="319">
        <f>'IV. Peajes transporte'!J86+'IV. Peajes distribución'!J86</f>
        <v>6.688036611885469E-3</v>
      </c>
      <c r="K14" s="319">
        <f>'IV. Peajes transporte'!K86+'IV. Peajes distribución'!K86</f>
        <v>5.6591366491614498E-3</v>
      </c>
      <c r="L14" s="319">
        <f>'IV. Peajes transporte'!L86+'IV. Peajes distribución'!L86</f>
        <v>3.2527826806580959E-3</v>
      </c>
      <c r="M14" s="319">
        <f>'IV. Peajes transporte'!M86+'IV. Peajes distribución'!M86</f>
        <v>1.8309687705999399E-4</v>
      </c>
      <c r="N14" s="323">
        <f>'IV. Peajes transporte'!N86+'IV. Peajes distribución'!N86</f>
        <v>8.0488004245325289E-5</v>
      </c>
    </row>
    <row r="15" spans="1:14" ht="18" customHeight="1" thickBot="1">
      <c r="A15" s="315" t="s">
        <v>120</v>
      </c>
      <c r="B15" s="316">
        <f>'IV. Peajes transporte'!B87+'IV. Peajes distribución'!B87</f>
        <v>9.258491084606316</v>
      </c>
      <c r="C15" s="316">
        <f>'IV. Peajes transporte'!C87+'IV. Peajes distribución'!C87</f>
        <v>9.258491084606316</v>
      </c>
      <c r="D15" s="316">
        <f>'IV. Peajes transporte'!D87+'IV. Peajes distribución'!D87</f>
        <v>4.4944534472079951</v>
      </c>
      <c r="E15" s="316">
        <f>'IV. Peajes transporte'!E87+'IV. Peajes distribución'!E87</f>
        <v>3.5392118053391473</v>
      </c>
      <c r="F15" s="316">
        <f>'IV. Peajes transporte'!F87+'IV. Peajes distribución'!F87</f>
        <v>0.20419529055875427</v>
      </c>
      <c r="G15" s="317">
        <f>'IV. Peajes transporte'!G87+'IV. Peajes distribución'!G87</f>
        <v>0.20419529055875427</v>
      </c>
      <c r="I15" s="324">
        <f>'IV. Peajes transporte'!I87+'IV. Peajes distribución'!I87</f>
        <v>6.8958121104774677E-3</v>
      </c>
      <c r="J15" s="325">
        <f>'IV. Peajes transporte'!J87+'IV. Peajes distribución'!J87</f>
        <v>5.3329737747851253E-3</v>
      </c>
      <c r="K15" s="325">
        <f>'IV. Peajes transporte'!K87+'IV. Peajes distribución'!K87</f>
        <v>4.5881408605254479E-3</v>
      </c>
      <c r="L15" s="325">
        <f>'IV. Peajes transporte'!L87+'IV. Peajes distribución'!L87</f>
        <v>2.5020260558345723E-3</v>
      </c>
      <c r="M15" s="325">
        <f>'IV. Peajes transporte'!M87+'IV. Peajes distribución'!M87</f>
        <v>8.0685056947850357E-5</v>
      </c>
      <c r="N15" s="326">
        <f>'IV. Peajes transporte'!N87+'IV. Peajes distribución'!N87</f>
        <v>4.9775089577514972E-5</v>
      </c>
    </row>
    <row r="16" spans="1:14">
      <c r="B16" s="399"/>
      <c r="C16" s="399"/>
      <c r="D16" s="395"/>
      <c r="E16" s="395"/>
    </row>
    <row r="18" spans="1:14" ht="15">
      <c r="A18" s="290" t="s">
        <v>132</v>
      </c>
      <c r="B18" s="274"/>
      <c r="C18" s="53"/>
    </row>
    <row r="19" spans="1:14" ht="13.5" thickBot="1">
      <c r="A19" s="272"/>
      <c r="B19" s="274"/>
      <c r="C19" s="53"/>
    </row>
    <row r="20" spans="1:14" ht="24" customHeight="1">
      <c r="A20" s="433" t="s">
        <v>60</v>
      </c>
      <c r="B20" s="227" t="s">
        <v>112</v>
      </c>
      <c r="C20" s="227"/>
      <c r="D20" s="227"/>
      <c r="E20" s="227"/>
      <c r="F20" s="227"/>
      <c r="G20" s="228"/>
      <c r="I20" s="245" t="s">
        <v>113</v>
      </c>
      <c r="J20" s="227"/>
      <c r="K20" s="227"/>
      <c r="L20" s="227"/>
      <c r="M20" s="227"/>
      <c r="N20" s="228"/>
    </row>
    <row r="21" spans="1:14" ht="24" customHeight="1">
      <c r="A21" s="434"/>
      <c r="B21" s="229" t="s">
        <v>17</v>
      </c>
      <c r="C21" s="229" t="s">
        <v>18</v>
      </c>
      <c r="D21" s="229" t="s">
        <v>19</v>
      </c>
      <c r="E21" s="229" t="s">
        <v>20</v>
      </c>
      <c r="F21" s="229" t="s">
        <v>21</v>
      </c>
      <c r="G21" s="230" t="s">
        <v>22</v>
      </c>
      <c r="I21" s="246" t="s">
        <v>17</v>
      </c>
      <c r="J21" s="229" t="s">
        <v>18</v>
      </c>
      <c r="K21" s="229" t="s">
        <v>19</v>
      </c>
      <c r="L21" s="229" t="s">
        <v>20</v>
      </c>
      <c r="M21" s="229" t="s">
        <v>21</v>
      </c>
      <c r="N21" s="230" t="s">
        <v>22</v>
      </c>
    </row>
    <row r="22" spans="1:14" ht="15" customHeight="1">
      <c r="A22" s="233" t="s">
        <v>12</v>
      </c>
      <c r="B22" s="275">
        <f t="shared" ref="B22:G26" si="0">B11/$G11</f>
        <v>10.935597328932255</v>
      </c>
      <c r="C22" s="275">
        <f t="shared" si="0"/>
        <v>9.9513440551504022</v>
      </c>
      <c r="D22" s="275">
        <f t="shared" si="0"/>
        <v>5.0587449117921901</v>
      </c>
      <c r="E22" s="275">
        <f t="shared" si="0"/>
        <v>3.8581044277064924</v>
      </c>
      <c r="F22" s="275">
        <f t="shared" si="0"/>
        <v>1</v>
      </c>
      <c r="G22" s="278">
        <f t="shared" si="0"/>
        <v>1</v>
      </c>
      <c r="I22" s="277">
        <f t="shared" ref="I22:N26" si="1">I11/$N11</f>
        <v>151.38841873996742</v>
      </c>
      <c r="J22" s="275">
        <f t="shared" si="1"/>
        <v>117.05412749025267</v>
      </c>
      <c r="K22" s="275">
        <f t="shared" si="1"/>
        <v>92.894360153820642</v>
      </c>
      <c r="L22" s="275">
        <f t="shared" si="1"/>
        <v>56.419401905960015</v>
      </c>
      <c r="M22" s="275">
        <f t="shared" si="1"/>
        <v>4.5183040818860505</v>
      </c>
      <c r="N22" s="278">
        <f t="shared" si="1"/>
        <v>1</v>
      </c>
    </row>
    <row r="23" spans="1:14" ht="15" customHeight="1">
      <c r="A23" s="236" t="s">
        <v>13</v>
      </c>
      <c r="B23" s="276">
        <f t="shared" si="0"/>
        <v>50.521683393077325</v>
      </c>
      <c r="C23" s="276">
        <f t="shared" si="0"/>
        <v>45.66244434049608</v>
      </c>
      <c r="D23" s="276">
        <f t="shared" si="0"/>
        <v>35.538881007901161</v>
      </c>
      <c r="E23" s="276">
        <f t="shared" si="0"/>
        <v>24.632388982783723</v>
      </c>
      <c r="F23" s="276">
        <f t="shared" si="0"/>
        <v>1</v>
      </c>
      <c r="G23" s="280">
        <f t="shared" si="0"/>
        <v>1</v>
      </c>
      <c r="I23" s="279">
        <f t="shared" si="1"/>
        <v>157.93480633938472</v>
      </c>
      <c r="J23" s="276">
        <f t="shared" si="1"/>
        <v>122.34570918759736</v>
      </c>
      <c r="K23" s="276">
        <f t="shared" si="1"/>
        <v>87.538054109907634</v>
      </c>
      <c r="L23" s="276">
        <f t="shared" si="1"/>
        <v>54.36100993972935</v>
      </c>
      <c r="M23" s="276">
        <f t="shared" si="1"/>
        <v>4.4377262709074188</v>
      </c>
      <c r="N23" s="280">
        <f t="shared" si="1"/>
        <v>1</v>
      </c>
    </row>
    <row r="24" spans="1:14" ht="15" customHeight="1">
      <c r="A24" s="236" t="s">
        <v>14</v>
      </c>
      <c r="B24" s="276">
        <f t="shared" si="0"/>
        <v>57.748667706446483</v>
      </c>
      <c r="C24" s="276">
        <f t="shared" si="0"/>
        <v>54.702656684431702</v>
      </c>
      <c r="D24" s="276">
        <f t="shared" si="0"/>
        <v>39.610800071652271</v>
      </c>
      <c r="E24" s="276">
        <f t="shared" si="0"/>
        <v>24.701227024274043</v>
      </c>
      <c r="F24" s="276">
        <f t="shared" si="0"/>
        <v>1</v>
      </c>
      <c r="G24" s="280">
        <f t="shared" si="0"/>
        <v>1</v>
      </c>
      <c r="I24" s="279">
        <f t="shared" si="1"/>
        <v>185.86780445668469</v>
      </c>
      <c r="J24" s="276">
        <f t="shared" si="1"/>
        <v>141.41556448364585</v>
      </c>
      <c r="K24" s="276">
        <f t="shared" si="1"/>
        <v>111.17216266610646</v>
      </c>
      <c r="L24" s="276">
        <f t="shared" si="1"/>
        <v>61.205709503976792</v>
      </c>
      <c r="M24" s="276">
        <f t="shared" si="1"/>
        <v>2.9930862277220616</v>
      </c>
      <c r="N24" s="280">
        <f t="shared" si="1"/>
        <v>1</v>
      </c>
    </row>
    <row r="25" spans="1:14" ht="15" customHeight="1">
      <c r="A25" s="236" t="s">
        <v>15</v>
      </c>
      <c r="B25" s="276">
        <f t="shared" si="0"/>
        <v>38.559339413718156</v>
      </c>
      <c r="C25" s="276">
        <f t="shared" si="0"/>
        <v>36.894005085783235</v>
      </c>
      <c r="D25" s="276">
        <f t="shared" si="0"/>
        <v>32.906021789939416</v>
      </c>
      <c r="E25" s="276">
        <f t="shared" si="0"/>
        <v>18.959976856166769</v>
      </c>
      <c r="F25" s="276">
        <f t="shared" si="0"/>
        <v>1</v>
      </c>
      <c r="G25" s="280">
        <f t="shared" si="0"/>
        <v>1</v>
      </c>
      <c r="I25" s="279">
        <f t="shared" si="1"/>
        <v>109.83028548677848</v>
      </c>
      <c r="J25" s="276">
        <f t="shared" si="1"/>
        <v>83.093582386519515</v>
      </c>
      <c r="K25" s="276">
        <f t="shared" si="1"/>
        <v>70.310311483342943</v>
      </c>
      <c r="L25" s="276">
        <f t="shared" si="1"/>
        <v>40.413260474737342</v>
      </c>
      <c r="M25" s="276">
        <f t="shared" si="1"/>
        <v>2.2748343529791049</v>
      </c>
      <c r="N25" s="280">
        <f t="shared" si="1"/>
        <v>1</v>
      </c>
    </row>
    <row r="26" spans="1:14" ht="15" customHeight="1" thickBot="1">
      <c r="A26" s="239" t="s">
        <v>16</v>
      </c>
      <c r="B26" s="282">
        <f t="shared" si="0"/>
        <v>45.341354637864768</v>
      </c>
      <c r="C26" s="282">
        <f t="shared" si="0"/>
        <v>45.341354637864768</v>
      </c>
      <c r="D26" s="282">
        <f t="shared" si="0"/>
        <v>22.010563685918019</v>
      </c>
      <c r="E26" s="282">
        <f t="shared" si="0"/>
        <v>17.332484973843165</v>
      </c>
      <c r="F26" s="282">
        <f t="shared" si="0"/>
        <v>1</v>
      </c>
      <c r="G26" s="283">
        <f t="shared" si="0"/>
        <v>1</v>
      </c>
      <c r="I26" s="281">
        <f t="shared" si="1"/>
        <v>138.53942140553235</v>
      </c>
      <c r="J26" s="282">
        <f t="shared" si="1"/>
        <v>107.14141993617231</v>
      </c>
      <c r="K26" s="282">
        <f t="shared" si="1"/>
        <v>92.177450597659202</v>
      </c>
      <c r="L26" s="282">
        <f t="shared" si="1"/>
        <v>50.266630900546261</v>
      </c>
      <c r="M26" s="282">
        <f t="shared" si="1"/>
        <v>1.6209927020261641</v>
      </c>
      <c r="N26" s="283">
        <f t="shared" si="1"/>
        <v>1</v>
      </c>
    </row>
    <row r="48" spans="1:3" ht="15">
      <c r="A48" s="290" t="s">
        <v>133</v>
      </c>
      <c r="B48" s="274"/>
      <c r="C48" s="53"/>
    </row>
    <row r="49" spans="1:14" ht="13.5" thickBot="1">
      <c r="A49" s="272"/>
      <c r="B49" s="274"/>
      <c r="C49" s="53"/>
    </row>
    <row r="50" spans="1:14" ht="18" customHeight="1">
      <c r="A50" s="433" t="s">
        <v>60</v>
      </c>
      <c r="B50" s="227" t="s">
        <v>112</v>
      </c>
      <c r="C50" s="227"/>
      <c r="D50" s="227"/>
      <c r="E50" s="227"/>
      <c r="F50" s="227"/>
      <c r="G50" s="228"/>
      <c r="I50" s="245" t="s">
        <v>113</v>
      </c>
      <c r="J50" s="227"/>
      <c r="K50" s="227"/>
      <c r="L50" s="227"/>
      <c r="M50" s="227"/>
      <c r="N50" s="228"/>
    </row>
    <row r="51" spans="1:14" ht="18" customHeight="1">
      <c r="A51" s="434"/>
      <c r="B51" s="229" t="s">
        <v>17</v>
      </c>
      <c r="C51" s="229" t="s">
        <v>18</v>
      </c>
      <c r="D51" s="229" t="s">
        <v>19</v>
      </c>
      <c r="E51" s="229" t="s">
        <v>20</v>
      </c>
      <c r="F51" s="229" t="s">
        <v>21</v>
      </c>
      <c r="G51" s="230" t="s">
        <v>22</v>
      </c>
      <c r="I51" s="246" t="s">
        <v>17</v>
      </c>
      <c r="J51" s="229" t="s">
        <v>18</v>
      </c>
      <c r="K51" s="229" t="s">
        <v>19</v>
      </c>
      <c r="L51" s="229" t="s">
        <v>20</v>
      </c>
      <c r="M51" s="229" t="s">
        <v>21</v>
      </c>
      <c r="N51" s="230" t="s">
        <v>22</v>
      </c>
    </row>
    <row r="52" spans="1:14" ht="18" customHeight="1">
      <c r="A52" s="233" t="s">
        <v>12</v>
      </c>
      <c r="B52" s="275">
        <f t="shared" ref="B52:G56" si="2">B11/B$15</f>
        <v>1.1023906774917835</v>
      </c>
      <c r="C52" s="275">
        <f t="shared" si="2"/>
        <v>1.0031705251149929</v>
      </c>
      <c r="D52" s="275">
        <f t="shared" si="2"/>
        <v>1.0505074302263755</v>
      </c>
      <c r="E52" s="275">
        <f t="shared" si="2"/>
        <v>1.0174209100584775</v>
      </c>
      <c r="F52" s="275">
        <f t="shared" si="2"/>
        <v>4.5707504724400234</v>
      </c>
      <c r="G52" s="278">
        <f t="shared" si="2"/>
        <v>4.5707504724400234</v>
      </c>
      <c r="I52" s="277">
        <f t="shared" ref="I52:N56" si="3">I11/I$15</f>
        <v>2.4435976341875953</v>
      </c>
      <c r="J52" s="275">
        <f t="shared" si="3"/>
        <v>2.4430915810498184</v>
      </c>
      <c r="K52" s="275">
        <f t="shared" si="3"/>
        <v>2.2535908362062496</v>
      </c>
      <c r="L52" s="275">
        <f t="shared" si="3"/>
        <v>2.5099155712100898</v>
      </c>
      <c r="M52" s="275">
        <f t="shared" si="3"/>
        <v>6.233110250923624</v>
      </c>
      <c r="N52" s="278">
        <f t="shared" si="3"/>
        <v>2.2361988136606521</v>
      </c>
    </row>
    <row r="53" spans="1:14" ht="18" customHeight="1">
      <c r="A53" s="236" t="s">
        <v>13</v>
      </c>
      <c r="B53" s="276">
        <f t="shared" si="2"/>
        <v>1.7967219267030212</v>
      </c>
      <c r="C53" s="276">
        <f t="shared" si="2"/>
        <v>1.6239109519590433</v>
      </c>
      <c r="D53" s="276">
        <f t="shared" si="2"/>
        <v>2.6035752265981125</v>
      </c>
      <c r="E53" s="276">
        <f t="shared" si="2"/>
        <v>2.2916233979969434</v>
      </c>
      <c r="F53" s="276">
        <f t="shared" si="2"/>
        <v>1.6124919162023035</v>
      </c>
      <c r="G53" s="280">
        <f t="shared" si="2"/>
        <v>1.6124919162023035</v>
      </c>
      <c r="I53" s="279">
        <f t="shared" si="3"/>
        <v>2.4053636406199805</v>
      </c>
      <c r="J53" s="276">
        <f t="shared" si="3"/>
        <v>2.4093927777766777</v>
      </c>
      <c r="K53" s="276">
        <f t="shared" si="3"/>
        <v>2.0037726993251996</v>
      </c>
      <c r="L53" s="276">
        <f t="shared" si="3"/>
        <v>2.2818337429912106</v>
      </c>
      <c r="M53" s="276">
        <f t="shared" si="3"/>
        <v>5.7763793941725421</v>
      </c>
      <c r="N53" s="280">
        <f t="shared" si="3"/>
        <v>2.1099698968529168</v>
      </c>
    </row>
    <row r="54" spans="1:14" ht="18" customHeight="1">
      <c r="A54" s="236" t="s">
        <v>14</v>
      </c>
      <c r="B54" s="276">
        <f t="shared" si="2"/>
        <v>1.3367602074486498</v>
      </c>
      <c r="C54" s="276">
        <f t="shared" si="2"/>
        <v>1.2662514582879343</v>
      </c>
      <c r="D54" s="276">
        <f t="shared" si="2"/>
        <v>1.88881090103142</v>
      </c>
      <c r="E54" s="276">
        <f t="shared" si="2"/>
        <v>1.4957662364327253</v>
      </c>
      <c r="F54" s="276">
        <f t="shared" si="2"/>
        <v>1.049557003458782</v>
      </c>
      <c r="G54" s="280">
        <f t="shared" si="2"/>
        <v>1.049557003458782</v>
      </c>
      <c r="I54" s="279">
        <f t="shared" si="3"/>
        <v>1.4187746929313714</v>
      </c>
      <c r="J54" s="276">
        <f t="shared" si="3"/>
        <v>1.3957976009167534</v>
      </c>
      <c r="K54" s="276">
        <f t="shared" si="3"/>
        <v>1.2754222692363433</v>
      </c>
      <c r="L54" s="276">
        <f t="shared" si="3"/>
        <v>1.2876409883296462</v>
      </c>
      <c r="M54" s="276">
        <f t="shared" si="3"/>
        <v>1.9526338009004185</v>
      </c>
      <c r="N54" s="280">
        <f t="shared" si="3"/>
        <v>1.0575054977277152</v>
      </c>
    </row>
    <row r="55" spans="1:14" ht="18" customHeight="1">
      <c r="A55" s="236" t="s">
        <v>15</v>
      </c>
      <c r="B55" s="276">
        <f t="shared" si="2"/>
        <v>1.1168685183117519</v>
      </c>
      <c r="C55" s="276">
        <f t="shared" si="2"/>
        <v>1.0686322281777811</v>
      </c>
      <c r="D55" s="276">
        <f t="shared" si="2"/>
        <v>1.9634107819772997</v>
      </c>
      <c r="E55" s="276">
        <f t="shared" si="2"/>
        <v>1.4366266748228138</v>
      </c>
      <c r="F55" s="276">
        <f t="shared" si="2"/>
        <v>1.3133091059807815</v>
      </c>
      <c r="G55" s="280">
        <f t="shared" si="2"/>
        <v>1.3133091059807815</v>
      </c>
      <c r="I55" s="279">
        <f t="shared" si="3"/>
        <v>1.2819404506531762</v>
      </c>
      <c r="J55" s="276">
        <f t="shared" si="3"/>
        <v>1.2540914120949229</v>
      </c>
      <c r="K55" s="276">
        <f t="shared" si="3"/>
        <v>1.2334269633808383</v>
      </c>
      <c r="L55" s="276">
        <f t="shared" si="3"/>
        <v>1.3000594750293686</v>
      </c>
      <c r="M55" s="276">
        <f t="shared" si="3"/>
        <v>2.269278649432398</v>
      </c>
      <c r="N55" s="280">
        <f t="shared" si="3"/>
        <v>1.6170338401898998</v>
      </c>
    </row>
    <row r="56" spans="1:14" ht="18" customHeight="1" thickBot="1">
      <c r="A56" s="367" t="s">
        <v>16</v>
      </c>
      <c r="B56" s="379">
        <f t="shared" si="2"/>
        <v>1</v>
      </c>
      <c r="C56" s="379">
        <f t="shared" si="2"/>
        <v>1</v>
      </c>
      <c r="D56" s="379">
        <f t="shared" si="2"/>
        <v>1</v>
      </c>
      <c r="E56" s="379">
        <f t="shared" si="2"/>
        <v>1</v>
      </c>
      <c r="F56" s="379">
        <f t="shared" si="2"/>
        <v>1</v>
      </c>
      <c r="G56" s="380">
        <f t="shared" si="2"/>
        <v>1</v>
      </c>
      <c r="I56" s="381">
        <f t="shared" si="3"/>
        <v>1</v>
      </c>
      <c r="J56" s="379">
        <f t="shared" si="3"/>
        <v>1</v>
      </c>
      <c r="K56" s="379">
        <f t="shared" si="3"/>
        <v>1</v>
      </c>
      <c r="L56" s="379">
        <f t="shared" si="3"/>
        <v>1</v>
      </c>
      <c r="M56" s="379">
        <f t="shared" si="3"/>
        <v>1</v>
      </c>
      <c r="N56" s="380">
        <f t="shared" si="3"/>
        <v>1</v>
      </c>
    </row>
    <row r="59" spans="1:14" ht="15">
      <c r="A59" s="290" t="s">
        <v>158</v>
      </c>
    </row>
    <row r="61" spans="1:14" ht="15">
      <c r="A61" s="97" t="s">
        <v>159</v>
      </c>
    </row>
    <row r="62" spans="1:14" ht="13.5" thickBot="1"/>
    <row r="63" spans="1:14" ht="22.5" customHeight="1">
      <c r="A63" s="433" t="s">
        <v>114</v>
      </c>
      <c r="B63" s="227" t="s">
        <v>153</v>
      </c>
      <c r="C63" s="227"/>
      <c r="D63" s="227"/>
      <c r="E63" s="435" t="s">
        <v>146</v>
      </c>
    </row>
    <row r="64" spans="1:14" ht="25.5">
      <c r="A64" s="434"/>
      <c r="B64" s="328" t="s">
        <v>112</v>
      </c>
      <c r="C64" s="328" t="s">
        <v>113</v>
      </c>
      <c r="D64" s="328" t="s">
        <v>5</v>
      </c>
      <c r="E64" s="436"/>
    </row>
    <row r="65" spans="1:10" ht="18" customHeight="1">
      <c r="A65" s="309" t="s">
        <v>115</v>
      </c>
      <c r="B65" s="329">
        <f>'IV. Peajes transporte'!B94+'IV. Peajes distribución'!B94</f>
        <v>3601183.8544109291</v>
      </c>
      <c r="C65" s="329">
        <f>'IV. Peajes transporte'!C94+'IV. Peajes distribución'!C94</f>
        <v>429084.85326151305</v>
      </c>
      <c r="D65" s="330">
        <f>SUM(B65:C65)</f>
        <v>4030268.7076724423</v>
      </c>
      <c r="E65" s="333">
        <f t="shared" ref="E65:E70" si="4">B65/D65</f>
        <v>0.89353443048483039</v>
      </c>
      <c r="G65" s="53"/>
      <c r="I65" s="53"/>
      <c r="J65" s="327"/>
    </row>
    <row r="66" spans="1:10" ht="18" customHeight="1">
      <c r="A66" s="312" t="s">
        <v>116</v>
      </c>
      <c r="B66" s="331">
        <f>'IV. Peajes transporte'!B95+'IV. Peajes distribución'!B95</f>
        <v>625352.82605826005</v>
      </c>
      <c r="C66" s="331">
        <f>'IV. Peajes transporte'!C95+'IV. Peajes distribución'!C95</f>
        <v>230016.44699790856</v>
      </c>
      <c r="D66" s="332">
        <f t="shared" ref="D66:D70" si="5">SUM(B66:C66)</f>
        <v>855369.27305616857</v>
      </c>
      <c r="E66" s="334">
        <f t="shared" si="4"/>
        <v>0.73109105711024958</v>
      </c>
      <c r="G66" s="53"/>
      <c r="I66" s="53"/>
    </row>
    <row r="67" spans="1:10" ht="18" customHeight="1">
      <c r="A67" s="312" t="s">
        <v>117</v>
      </c>
      <c r="B67" s="331">
        <f>'IV. Peajes transporte'!B96+'IV. Peajes distribución'!B96</f>
        <v>970013.27608231944</v>
      </c>
      <c r="C67" s="331">
        <f>'IV. Peajes transporte'!C96+'IV. Peajes distribución'!C96</f>
        <v>378428.26173053967</v>
      </c>
      <c r="D67" s="332">
        <f t="shared" si="5"/>
        <v>1348441.5378128591</v>
      </c>
      <c r="E67" s="334">
        <f t="shared" si="4"/>
        <v>0.71935879226596544</v>
      </c>
      <c r="G67" s="53"/>
      <c r="I67" s="53"/>
    </row>
    <row r="68" spans="1:10" ht="18" customHeight="1">
      <c r="A68" s="312" t="s">
        <v>118</v>
      </c>
      <c r="B68" s="331">
        <f>'IV. Peajes transporte'!B97+'IV. Peajes distribución'!B97</f>
        <v>165693.86021012621</v>
      </c>
      <c r="C68" s="331">
        <f>'IV. Peajes transporte'!C97+'IV. Peajes distribución'!C97</f>
        <v>65313.572841739049</v>
      </c>
      <c r="D68" s="332">
        <f t="shared" si="5"/>
        <v>231007.43305186526</v>
      </c>
      <c r="E68" s="334">
        <f t="shared" si="4"/>
        <v>0.71726635814755368</v>
      </c>
      <c r="G68" s="53"/>
      <c r="I68" s="53"/>
    </row>
    <row r="69" spans="1:10" ht="18" customHeight="1">
      <c r="A69" s="312" t="s">
        <v>119</v>
      </c>
      <c r="B69" s="331">
        <f>'IV. Peajes transporte'!B98+'IV. Peajes distribución'!B98</f>
        <v>61147.831436577937</v>
      </c>
      <c r="C69" s="331">
        <f>'IV. Peajes transporte'!C98+'IV. Peajes distribución'!C98</f>
        <v>23989.589152847471</v>
      </c>
      <c r="D69" s="332">
        <f t="shared" si="5"/>
        <v>85137.420589425412</v>
      </c>
      <c r="E69" s="334">
        <f t="shared" si="4"/>
        <v>0.71822508848914868</v>
      </c>
      <c r="G69" s="53"/>
      <c r="I69" s="53"/>
    </row>
    <row r="70" spans="1:10" ht="18" customHeight="1" thickBot="1">
      <c r="A70" s="315" t="s">
        <v>120</v>
      </c>
      <c r="B70" s="335">
        <f>'IV. Peajes transporte'!B99+'IV. Peajes distribución'!B99</f>
        <v>102895.01826024041</v>
      </c>
      <c r="C70" s="335">
        <f>'IV. Peajes transporte'!C99+'IV. Peajes distribución'!C99</f>
        <v>43768.698168269853</v>
      </c>
      <c r="D70" s="336">
        <f t="shared" si="5"/>
        <v>146663.71642851026</v>
      </c>
      <c r="E70" s="337">
        <f t="shared" si="4"/>
        <v>0.70157105496774685</v>
      </c>
      <c r="G70" s="53"/>
      <c r="I70" s="53"/>
    </row>
    <row r="71" spans="1:10" ht="7.5" customHeight="1" thickBot="1">
      <c r="G71" s="53"/>
    </row>
    <row r="72" spans="1:10" s="1" customFormat="1" ht="18" customHeight="1" thickBot="1">
      <c r="A72" s="359" t="s">
        <v>5</v>
      </c>
      <c r="B72" s="360">
        <f>SUM(B65:B70)</f>
        <v>5526286.6664584531</v>
      </c>
      <c r="C72" s="360">
        <f>SUM(C65:C70)</f>
        <v>1170601.4221528175</v>
      </c>
      <c r="D72" s="361">
        <f>SUM(B72:C72)</f>
        <v>6696888.0886112703</v>
      </c>
      <c r="E72" s="362">
        <f>B72/D72</f>
        <v>0.82520218246687704</v>
      </c>
      <c r="G72" s="53"/>
    </row>
    <row r="73" spans="1:10" s="1" customFormat="1" ht="18" customHeight="1">
      <c r="A73" s="363"/>
      <c r="B73" s="364"/>
      <c r="C73" s="364"/>
      <c r="D73" s="365">
        <f>D72-SUM('I. Datos de entrada'!$C$14,'I. Datos de entrada'!$C$30)</f>
        <v>0</v>
      </c>
      <c r="E73" s="366"/>
    </row>
    <row r="74" spans="1:10">
      <c r="D74" s="327"/>
    </row>
    <row r="75" spans="1:10" ht="15">
      <c r="A75" s="97" t="s">
        <v>160</v>
      </c>
    </row>
    <row r="76" spans="1:10" ht="15.75" thickBot="1">
      <c r="A76" s="97"/>
    </row>
    <row r="77" spans="1:10" ht="22.5" customHeight="1">
      <c r="A77" s="433" t="s">
        <v>114</v>
      </c>
      <c r="B77" s="227" t="s">
        <v>153</v>
      </c>
      <c r="C77" s="227"/>
      <c r="D77" s="227"/>
      <c r="E77" s="435" t="s">
        <v>155</v>
      </c>
    </row>
    <row r="78" spans="1:10" ht="18.75" customHeight="1">
      <c r="A78" s="434"/>
      <c r="B78" s="328" t="s">
        <v>3</v>
      </c>
      <c r="C78" s="328" t="s">
        <v>154</v>
      </c>
      <c r="D78" s="328" t="s">
        <v>5</v>
      </c>
      <c r="E78" s="436"/>
    </row>
    <row r="79" spans="1:10" ht="18" customHeight="1">
      <c r="A79" s="309" t="s">
        <v>115</v>
      </c>
      <c r="B79" s="329">
        <f>'IV. Peajes transporte'!D94</f>
        <v>635168.91400622448</v>
      </c>
      <c r="C79" s="329">
        <f>'IV. Peajes distribución'!D94</f>
        <v>3395099.7936662175</v>
      </c>
      <c r="D79" s="330">
        <f>SUM(B79:C79)</f>
        <v>4030268.7076724418</v>
      </c>
      <c r="E79" s="333">
        <f t="shared" ref="E79:E84" si="6">B79/D79</f>
        <v>0.15759964411232691</v>
      </c>
      <c r="F79" s="327"/>
      <c r="I79" s="327"/>
      <c r="J79" s="327"/>
    </row>
    <row r="80" spans="1:10" ht="18" customHeight="1">
      <c r="A80" s="312" t="s">
        <v>116</v>
      </c>
      <c r="B80" s="331">
        <f>'IV. Peajes transporte'!D95</f>
        <v>151652.53734959773</v>
      </c>
      <c r="C80" s="331">
        <f>'IV. Peajes distribución'!D95</f>
        <v>703716.73570657079</v>
      </c>
      <c r="D80" s="332">
        <f t="shared" ref="D80:D84" si="7">SUM(B80:C80)</f>
        <v>855369.27305616857</v>
      </c>
      <c r="E80" s="334">
        <f t="shared" si="6"/>
        <v>0.17729481538161276</v>
      </c>
      <c r="F80" s="327"/>
      <c r="I80" s="327"/>
      <c r="J80" s="327"/>
    </row>
    <row r="81" spans="1:10" ht="18" customHeight="1">
      <c r="A81" s="312" t="s">
        <v>117</v>
      </c>
      <c r="B81" s="331">
        <f>'IV. Peajes transporte'!D96</f>
        <v>358630.33393940533</v>
      </c>
      <c r="C81" s="331">
        <f>'IV. Peajes distribución'!D96</f>
        <v>989811.20387345378</v>
      </c>
      <c r="D81" s="332">
        <f t="shared" si="7"/>
        <v>1348441.5378128591</v>
      </c>
      <c r="E81" s="334">
        <f t="shared" ref="E81:E83" si="8">B81/D81</f>
        <v>0.26595912680137057</v>
      </c>
      <c r="F81" s="327"/>
      <c r="I81" s="327"/>
      <c r="J81" s="327"/>
    </row>
    <row r="82" spans="1:10" ht="18" customHeight="1">
      <c r="A82" s="312" t="s">
        <v>118</v>
      </c>
      <c r="B82" s="331">
        <f>'IV. Peajes transporte'!D97</f>
        <v>101516.31047621509</v>
      </c>
      <c r="C82" s="331">
        <f>'IV. Peajes distribución'!D97</f>
        <v>129491.12257565015</v>
      </c>
      <c r="D82" s="332">
        <f t="shared" si="7"/>
        <v>231007.43305186526</v>
      </c>
      <c r="E82" s="334">
        <f t="shared" si="8"/>
        <v>0.43945040700669957</v>
      </c>
      <c r="F82" s="327"/>
      <c r="I82" s="327"/>
      <c r="J82" s="327"/>
    </row>
    <row r="83" spans="1:10" ht="18" customHeight="1">
      <c r="A83" s="312" t="s">
        <v>119</v>
      </c>
      <c r="B83" s="331">
        <f>'IV. Peajes transporte'!D98</f>
        <v>46256.276411317725</v>
      </c>
      <c r="C83" s="331">
        <f>'IV. Peajes distribución'!D98</f>
        <v>38881.144178107679</v>
      </c>
      <c r="D83" s="332">
        <f t="shared" si="7"/>
        <v>85137.420589425397</v>
      </c>
      <c r="E83" s="334">
        <f t="shared" si="8"/>
        <v>0.5433131059300973</v>
      </c>
      <c r="F83" s="327"/>
      <c r="I83" s="327"/>
      <c r="J83" s="327"/>
    </row>
    <row r="84" spans="1:10" ht="18" customHeight="1" thickBot="1">
      <c r="A84" s="315" t="s">
        <v>120</v>
      </c>
      <c r="B84" s="335">
        <f>'IV. Peajes transporte'!D99</f>
        <v>146663.71642851026</v>
      </c>
      <c r="C84" s="335">
        <f>'IV. Peajes distribución'!D99</f>
        <v>0</v>
      </c>
      <c r="D84" s="336">
        <f t="shared" si="7"/>
        <v>146663.71642851026</v>
      </c>
      <c r="E84" s="337">
        <f t="shared" si="6"/>
        <v>1</v>
      </c>
      <c r="F84" s="327"/>
      <c r="I84" s="327"/>
      <c r="J84" s="327"/>
    </row>
    <row r="85" spans="1:10" ht="7.5" customHeight="1" thickBot="1"/>
    <row r="86" spans="1:10" s="1" customFormat="1" ht="18" customHeight="1" thickBot="1">
      <c r="A86" s="359" t="s">
        <v>5</v>
      </c>
      <c r="B86" s="360">
        <f>SUM(B79:B84)</f>
        <v>1439888.0886112708</v>
      </c>
      <c r="C86" s="360">
        <f>SUM(C79:C84)</f>
        <v>5256999.9999999991</v>
      </c>
      <c r="D86" s="361">
        <f>SUM(B86:C86)</f>
        <v>6696888.0886112694</v>
      </c>
      <c r="E86" s="362">
        <f>B86/D86</f>
        <v>0.21500853374867426</v>
      </c>
    </row>
    <row r="87" spans="1:10">
      <c r="B87" s="392"/>
      <c r="C87" s="392"/>
      <c r="D87" s="401"/>
      <c r="E87" s="402"/>
    </row>
    <row r="88" spans="1:10">
      <c r="B88" s="327"/>
      <c r="C88" s="327"/>
      <c r="D88" s="327"/>
    </row>
  </sheetData>
  <mergeCells count="7">
    <mergeCell ref="A77:A78"/>
    <mergeCell ref="A8:A9"/>
    <mergeCell ref="A63:A64"/>
    <mergeCell ref="E63:E64"/>
    <mergeCell ref="E77:E78"/>
    <mergeCell ref="A20:A21"/>
    <mergeCell ref="A50:A51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I. Datos de entrada</vt:lpstr>
      <vt:lpstr>I. Balances de Potencia</vt:lpstr>
      <vt:lpstr>I. Balances de energía</vt:lpstr>
      <vt:lpstr>II. Coeficientes Potencia</vt:lpstr>
      <vt:lpstr>II. Coeficientes Energía</vt:lpstr>
      <vt:lpstr>III. Metodología de asignación</vt:lpstr>
      <vt:lpstr>IV. Peajes transporte</vt:lpstr>
      <vt:lpstr>IV. Peajes distribución</vt:lpstr>
      <vt:lpstr>IV. Peajes T&amp;D</vt:lpstr>
      <vt:lpstr>IV. Peajes autoconsumo próximo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2019-07-29T07:24:10Z</dcterms:created>
  <dcterms:modified xsi:type="dcterms:W3CDTF">2019-07-29T07:26:20Z</dcterms:modified>
</cp:coreProperties>
</file>