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codeName="ThisWorkbook" defaultThemeVersion="124226"/>
  <xr:revisionPtr revIDLastSave="0" documentId="13_ncr:1_{7D6C5492-365D-44F1-9F74-4CFEBE0FDC5D}" xr6:coauthVersionLast="36" xr6:coauthVersionMax="36" xr10:uidLastSave="{00000000-0000-0000-0000-000000000000}"/>
  <bookViews>
    <workbookView xWindow="480" yWindow="48" windowWidth="9192" windowHeight="6660" tabRatio="695" firstSheet="6" activeTab="6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IX. Peajes VE" sheetId="72" r:id="rId11"/>
    <sheet name="VIII. Pagos autoconsumo próximo" sheetId="67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_xlnm.Print_Area" localSheetId="6">'Va. Peajes transporte'!$A$1:$N$98</definedName>
    <definedName name="_xlnm.Print_Area" localSheetId="7">'Vb. Peajes distribución'!$A$1:$O$98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</workbook>
</file>

<file path=xl/calcChain.xml><?xml version="1.0" encoding="utf-8"?>
<calcChain xmlns="http://schemas.openxmlformats.org/spreadsheetml/2006/main">
  <c r="F41" i="67" l="1"/>
  <c r="F40" i="67"/>
  <c r="F39" i="67"/>
  <c r="F38" i="67"/>
  <c r="B38" i="67" l="1"/>
  <c r="C47" i="72" l="1"/>
  <c r="C15" i="72"/>
  <c r="C13" i="72"/>
  <c r="C14" i="1" l="1"/>
  <c r="B46" i="71"/>
  <c r="B45" i="71"/>
  <c r="B44" i="71" l="1"/>
  <c r="C102" i="1"/>
  <c r="D102" i="1"/>
  <c r="G102" i="1"/>
  <c r="I101" i="1"/>
  <c r="H102" i="1"/>
  <c r="E102" i="1"/>
  <c r="F102" i="1"/>
  <c r="F15" i="61" l="1"/>
  <c r="F20" i="61" s="1"/>
  <c r="B11" i="71"/>
  <c r="G19" i="61"/>
  <c r="D15" i="60"/>
  <c r="D20" i="60" s="1"/>
  <c r="H15" i="60"/>
  <c r="H20" i="60" s="1"/>
  <c r="F19" i="61"/>
  <c r="G15" i="61"/>
  <c r="H12" i="61"/>
  <c r="I15" i="61"/>
  <c r="D19" i="60"/>
  <c r="H15" i="61"/>
  <c r="I19" i="61"/>
  <c r="F15" i="60"/>
  <c r="F20" i="60" s="1"/>
  <c r="E15" i="60"/>
  <c r="E20" i="60" s="1"/>
  <c r="I15" i="60"/>
  <c r="I20" i="60" s="1"/>
  <c r="F11" i="71"/>
  <c r="G11" i="71"/>
  <c r="C11" i="71"/>
  <c r="E11" i="71"/>
  <c r="D11" i="71"/>
  <c r="I102" i="1"/>
  <c r="I20" i="61" l="1"/>
  <c r="G20" i="61"/>
  <c r="D15" i="61"/>
  <c r="E15" i="61"/>
  <c r="H16" i="61"/>
  <c r="G17" i="58"/>
  <c r="H12" i="58" s="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84" i="66"/>
  <c r="C31" i="1" l="1"/>
  <c r="C19" i="1" l="1"/>
  <c r="H85" i="62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C30" i="1" l="1"/>
  <c r="D10" i="62" l="1"/>
  <c r="B17" i="58"/>
  <c r="B72" i="59"/>
  <c r="F72" i="59" l="1"/>
  <c r="J71" i="59" s="1"/>
  <c r="E11" i="61"/>
  <c r="J12" i="58"/>
  <c r="C61" i="58"/>
  <c r="J57" i="58" s="1"/>
  <c r="C17" i="58"/>
  <c r="J13" i="58" s="1"/>
  <c r="D20" i="61"/>
  <c r="E10" i="61"/>
  <c r="D10" i="61"/>
  <c r="F28" i="59"/>
  <c r="J27" i="59" s="1"/>
  <c r="I12" i="60"/>
  <c r="I16" i="60" s="1"/>
  <c r="E72" i="59"/>
  <c r="J70" i="59" s="1"/>
  <c r="J23" i="58"/>
  <c r="I72" i="58"/>
  <c r="G61" i="59"/>
  <c r="I11" i="60"/>
  <c r="I14" i="60" s="1"/>
  <c r="I18" i="60" s="1"/>
  <c r="I23" i="60" s="1"/>
  <c r="H10" i="61"/>
  <c r="I10" i="61"/>
  <c r="H10" i="60"/>
  <c r="I72" i="59"/>
  <c r="F10" i="60"/>
  <c r="G10" i="60"/>
  <c r="D19" i="61"/>
  <c r="F17" i="58"/>
  <c r="J16" i="58" s="1"/>
  <c r="D12" i="61"/>
  <c r="D17" i="58"/>
  <c r="J14" i="58" s="1"/>
  <c r="I17" i="58"/>
  <c r="E19" i="61"/>
  <c r="F28" i="58"/>
  <c r="J27" i="58" s="1"/>
  <c r="C28" i="58"/>
  <c r="J24" i="58" s="1"/>
  <c r="E12" i="61"/>
  <c r="D28" i="58"/>
  <c r="J25" i="58" s="1"/>
  <c r="I28" i="58"/>
  <c r="B61" i="58"/>
  <c r="B50" i="59"/>
  <c r="C61" i="59"/>
  <c r="J57" i="59" s="1"/>
  <c r="G72" i="59"/>
  <c r="C72" i="59"/>
  <c r="J68" i="59" s="1"/>
  <c r="E17" i="58"/>
  <c r="J15" i="58" s="1"/>
  <c r="G28" i="58"/>
  <c r="H11" i="61"/>
  <c r="J56" i="58"/>
  <c r="F61" i="58"/>
  <c r="J60" i="58" s="1"/>
  <c r="D61" i="58"/>
  <c r="J58" i="58" s="1"/>
  <c r="I61" i="58"/>
  <c r="E72" i="58"/>
  <c r="J70" i="58" s="1"/>
  <c r="F72" i="58"/>
  <c r="J71" i="58" s="1"/>
  <c r="C72" i="58"/>
  <c r="J68" i="58" s="1"/>
  <c r="D72" i="58"/>
  <c r="J69" i="58" s="1"/>
  <c r="F61" i="59"/>
  <c r="J60" i="59" s="1"/>
  <c r="B61" i="59"/>
  <c r="I10" i="60"/>
  <c r="I11" i="61"/>
  <c r="D72" i="59"/>
  <c r="J69" i="59" s="1"/>
  <c r="J67" i="59"/>
  <c r="G72" i="58"/>
  <c r="F10" i="61"/>
  <c r="J67" i="58"/>
  <c r="I12" i="61"/>
  <c r="H19" i="61"/>
  <c r="E61" i="58"/>
  <c r="J59" i="58" s="1"/>
  <c r="F11" i="61"/>
  <c r="E28" i="58"/>
  <c r="J26" i="58" s="1"/>
  <c r="D11" i="61"/>
  <c r="B28" i="58"/>
  <c r="B72" i="58"/>
  <c r="H13" i="58"/>
  <c r="G61" i="58"/>
  <c r="F50" i="59"/>
  <c r="J49" i="59" s="1"/>
  <c r="I61" i="59"/>
  <c r="E10" i="60"/>
  <c r="B28" i="59"/>
  <c r="H12" i="60"/>
  <c r="H19" i="60"/>
  <c r="C50" i="59"/>
  <c r="J46" i="59" s="1"/>
  <c r="G12" i="60"/>
  <c r="E61" i="59"/>
  <c r="J59" i="59" s="1"/>
  <c r="H11" i="60"/>
  <c r="H14" i="60" s="1"/>
  <c r="H18" i="60" s="1"/>
  <c r="H23" i="60" s="1"/>
  <c r="I19" i="60"/>
  <c r="C39" i="59"/>
  <c r="J35" i="59" s="1"/>
  <c r="F11" i="60"/>
  <c r="F14" i="60" s="1"/>
  <c r="F18" i="60" s="1"/>
  <c r="F23" i="60" s="1"/>
  <c r="B39" i="59"/>
  <c r="G50" i="59"/>
  <c r="G11" i="60"/>
  <c r="G14" i="60" s="1"/>
  <c r="G18" i="60" s="1"/>
  <c r="G23" i="60" s="1"/>
  <c r="E39" i="59"/>
  <c r="J37" i="59" s="1"/>
  <c r="I50" i="59"/>
  <c r="E50" i="59"/>
  <c r="J48" i="59" s="1"/>
  <c r="D61" i="59"/>
  <c r="J58" i="59" s="1"/>
  <c r="J56" i="59"/>
  <c r="I39" i="59"/>
  <c r="G15" i="60"/>
  <c r="G20" i="60" s="1"/>
  <c r="J45" i="59"/>
  <c r="J34" i="59"/>
  <c r="G39" i="59"/>
  <c r="F19" i="60"/>
  <c r="G19" i="60"/>
  <c r="G28" i="59"/>
  <c r="C28" i="59"/>
  <c r="J24" i="59" s="1"/>
  <c r="F39" i="59"/>
  <c r="J38" i="59" s="1"/>
  <c r="F12" i="60"/>
  <c r="D50" i="59"/>
  <c r="J47" i="59" s="1"/>
  <c r="D10" i="60"/>
  <c r="D11" i="60"/>
  <c r="D14" i="60" s="1"/>
  <c r="D18" i="60" s="1"/>
  <c r="D23" i="60" s="1"/>
  <c r="E19" i="60"/>
  <c r="J23" i="59"/>
  <c r="D39" i="59"/>
  <c r="J36" i="59" s="1"/>
  <c r="I28" i="59"/>
  <c r="D28" i="59"/>
  <c r="J25" i="59" s="1"/>
  <c r="E12" i="60"/>
  <c r="E28" i="59"/>
  <c r="J26" i="59" s="1"/>
  <c r="E11" i="60"/>
  <c r="E14" i="60" s="1"/>
  <c r="E18" i="60" s="1"/>
  <c r="E23" i="60" s="1"/>
  <c r="E17" i="59"/>
  <c r="J15" i="59" s="1"/>
  <c r="C17" i="59"/>
  <c r="J13" i="59" s="1"/>
  <c r="D12" i="60"/>
  <c r="B17" i="59"/>
  <c r="F17" i="59"/>
  <c r="J16" i="59" s="1"/>
  <c r="I17" i="59"/>
  <c r="D17" i="59"/>
  <c r="J14" i="59" s="1"/>
  <c r="J12" i="59"/>
  <c r="G17" i="59"/>
  <c r="D16" i="61" l="1"/>
  <c r="H14" i="61"/>
  <c r="E16" i="61"/>
  <c r="F16" i="60"/>
  <c r="F21" i="60" s="1"/>
  <c r="H13" i="61"/>
  <c r="I16" i="61"/>
  <c r="E13" i="61"/>
  <c r="G16" i="60"/>
  <c r="G21" i="60" s="1"/>
  <c r="D16" i="60"/>
  <c r="D21" i="60" s="1"/>
  <c r="I21" i="60"/>
  <c r="E16" i="60"/>
  <c r="E21" i="60" s="1"/>
  <c r="H16" i="60"/>
  <c r="H21" i="60" s="1"/>
  <c r="H69" i="59"/>
  <c r="H68" i="59"/>
  <c r="H67" i="59"/>
  <c r="H71" i="59"/>
  <c r="H70" i="59"/>
  <c r="H59" i="59"/>
  <c r="H58" i="59"/>
  <c r="H57" i="59"/>
  <c r="H56" i="59"/>
  <c r="H60" i="59"/>
  <c r="H47" i="59"/>
  <c r="H45" i="59"/>
  <c r="H46" i="59"/>
  <c r="H49" i="59"/>
  <c r="H48" i="59"/>
  <c r="H38" i="59"/>
  <c r="H37" i="59"/>
  <c r="H36" i="59"/>
  <c r="H35" i="59"/>
  <c r="H34" i="59"/>
  <c r="H25" i="59"/>
  <c r="H24" i="59"/>
  <c r="H27" i="59"/>
  <c r="H26" i="59"/>
  <c r="H23" i="59"/>
  <c r="H12" i="59"/>
  <c r="H16" i="59"/>
  <c r="H14" i="59"/>
  <c r="H13" i="59"/>
  <c r="H15" i="59"/>
  <c r="H68" i="58"/>
  <c r="H67" i="58"/>
  <c r="H69" i="58"/>
  <c r="H71" i="58"/>
  <c r="H70" i="58"/>
  <c r="H59" i="58"/>
  <c r="H58" i="58"/>
  <c r="H57" i="58"/>
  <c r="H56" i="58"/>
  <c r="H60" i="58"/>
  <c r="H23" i="58"/>
  <c r="H24" i="58"/>
  <c r="H25" i="58"/>
  <c r="H26" i="58"/>
  <c r="H27" i="58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D13" i="61"/>
  <c r="E13" i="60"/>
  <c r="E17" i="60" s="1"/>
  <c r="E22" i="60" s="1"/>
  <c r="I13" i="61"/>
  <c r="E87" i="62"/>
  <c r="I13" i="60"/>
  <c r="I17" i="60" s="1"/>
  <c r="I22" i="60" s="1"/>
  <c r="H86" i="62"/>
  <c r="F13" i="60"/>
  <c r="F17" i="60" s="1"/>
  <c r="F22" i="60" s="1"/>
  <c r="E86" i="62"/>
  <c r="G13" i="60"/>
  <c r="G17" i="60" s="1"/>
  <c r="G22" i="60" s="1"/>
  <c r="G91" i="62"/>
  <c r="H91" i="62"/>
  <c r="G87" i="62"/>
  <c r="H13" i="60"/>
  <c r="H17" i="60" s="1"/>
  <c r="H22" i="60" s="1"/>
  <c r="G86" i="62"/>
  <c r="H71" i="62"/>
  <c r="G67" i="62"/>
  <c r="E20" i="61"/>
  <c r="D71" i="62"/>
  <c r="H20" i="61"/>
  <c r="G71" i="62"/>
  <c r="D14" i="61"/>
  <c r="C67" i="62"/>
  <c r="I14" i="61"/>
  <c r="H67" i="62"/>
  <c r="C91" i="62"/>
  <c r="C86" i="62"/>
  <c r="C88" i="62"/>
  <c r="C95" i="62"/>
  <c r="C87" i="62"/>
  <c r="F13" i="61"/>
  <c r="F14" i="61"/>
  <c r="C39" i="58"/>
  <c r="F39" i="58"/>
  <c r="H14" i="58"/>
  <c r="H16" i="58"/>
  <c r="H15" i="58"/>
  <c r="D13" i="60"/>
  <c r="D17" i="60" s="1"/>
  <c r="D22" i="60" s="1"/>
  <c r="H17" i="61" l="1"/>
  <c r="F17" i="61"/>
  <c r="H18" i="61"/>
  <c r="D18" i="61"/>
  <c r="F16" i="61"/>
  <c r="I18" i="61"/>
  <c r="I17" i="61"/>
  <c r="F18" i="61"/>
  <c r="D17" i="61"/>
  <c r="E17" i="61"/>
  <c r="E18" i="61"/>
  <c r="I21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H72" i="59"/>
  <c r="H61" i="59"/>
  <c r="H72" i="58"/>
  <c r="H28" i="58"/>
  <c r="C70" i="62"/>
  <c r="J38" i="58"/>
  <c r="E21" i="61"/>
  <c r="D72" i="62"/>
  <c r="F92" i="62"/>
  <c r="C92" i="62"/>
  <c r="D92" i="62"/>
  <c r="C89" i="62"/>
  <c r="H92" i="62"/>
  <c r="C90" i="62"/>
  <c r="E92" i="62"/>
  <c r="C96" i="62"/>
  <c r="G92" i="62"/>
  <c r="H28" i="59"/>
  <c r="G10" i="61"/>
  <c r="E50" i="58"/>
  <c r="J48" i="58" s="1"/>
  <c r="F50" i="58"/>
  <c r="B50" i="58"/>
  <c r="G12" i="61"/>
  <c r="C50" i="58"/>
  <c r="J46" i="58" s="1"/>
  <c r="G11" i="61"/>
  <c r="D39" i="58"/>
  <c r="H61" i="58"/>
  <c r="H17" i="58"/>
  <c r="H50" i="59"/>
  <c r="H39" i="59"/>
  <c r="H17" i="59"/>
  <c r="G16" i="61" l="1"/>
  <c r="F72" i="62" s="1"/>
  <c r="D22" i="61"/>
  <c r="C78" i="62" s="1"/>
  <c r="I22" i="61"/>
  <c r="C73" i="62"/>
  <c r="I23" i="61"/>
  <c r="F21" i="61"/>
  <c r="E73" i="62"/>
  <c r="F68" i="62"/>
  <c r="G74" i="62"/>
  <c r="E22" i="61"/>
  <c r="F71" i="62"/>
  <c r="D77" i="62"/>
  <c r="H22" i="61"/>
  <c r="H23" i="61"/>
  <c r="H73" i="62"/>
  <c r="H77" i="62"/>
  <c r="C77" i="62"/>
  <c r="D73" i="62"/>
  <c r="G73" i="62"/>
  <c r="G14" i="61"/>
  <c r="F67" i="62"/>
  <c r="E23" i="61"/>
  <c r="D74" i="62"/>
  <c r="G13" i="61"/>
  <c r="F66" i="62"/>
  <c r="D23" i="61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I50" i="58"/>
  <c r="J45" i="58"/>
  <c r="J49" i="58"/>
  <c r="D50" i="58"/>
  <c r="J47" i="58" s="1"/>
  <c r="G50" i="58"/>
  <c r="H45" i="58" s="1"/>
  <c r="I39" i="58"/>
  <c r="J35" i="58"/>
  <c r="B39" i="58"/>
  <c r="F22" i="61"/>
  <c r="E39" i="58"/>
  <c r="J37" i="58" s="1"/>
  <c r="J36" i="58"/>
  <c r="G39" i="58"/>
  <c r="H34" i="58" s="1"/>
  <c r="J34" i="58"/>
  <c r="G17" i="61" l="1"/>
  <c r="G22" i="61" s="1"/>
  <c r="G21" i="61"/>
  <c r="G18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F23" i="61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H46" i="58"/>
  <c r="H49" i="58"/>
  <c r="H48" i="58"/>
  <c r="H47" i="58"/>
  <c r="H35" i="58"/>
  <c r="H37" i="58"/>
  <c r="H36" i="58"/>
  <c r="H38" i="58"/>
  <c r="F82" i="1"/>
  <c r="F74" i="62" l="1"/>
  <c r="G23" i="61"/>
  <c r="F77" i="62"/>
  <c r="F73" i="62"/>
  <c r="B50" i="62"/>
  <c r="E79" i="62"/>
  <c r="E76" i="62"/>
  <c r="E77" i="62"/>
  <c r="F78" i="62"/>
  <c r="H50" i="58"/>
  <c r="H39" i="58"/>
  <c r="F79" i="62" l="1"/>
  <c r="E11" i="62"/>
  <c r="E10" i="62" s="1"/>
  <c r="H11" i="62"/>
  <c r="H10" i="62" s="1"/>
  <c r="G11" i="62"/>
  <c r="G10" i="62" s="1"/>
  <c r="F11" i="62"/>
  <c r="F10" i="62" s="1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59" i="1" l="1"/>
  <c r="D59" i="1" s="1"/>
  <c r="C58" i="1"/>
  <c r="D58" i="1" s="1"/>
  <c r="C57" i="1"/>
  <c r="D57" i="1" s="1"/>
  <c r="C56" i="1"/>
  <c r="D56" i="1" s="1"/>
  <c r="C55" i="1"/>
  <c r="D55" i="1" s="1"/>
  <c r="B47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77" i="1"/>
  <c r="D77" i="1"/>
  <c r="B77" i="1"/>
  <c r="C77" i="1"/>
  <c r="E77" i="1"/>
  <c r="F57" i="62" l="1"/>
  <c r="C57" i="62"/>
  <c r="E57" i="62"/>
  <c r="D57" i="62"/>
  <c r="B57" i="62"/>
  <c r="F93" i="1"/>
  <c r="B93" i="1"/>
  <c r="E93" i="1"/>
  <c r="D93" i="1"/>
  <c r="C93" i="1"/>
  <c r="E20" i="62" l="1"/>
  <c r="E23" i="62"/>
  <c r="G20" i="62"/>
  <c r="G23" i="62"/>
  <c r="H23" i="62"/>
  <c r="H20" i="62"/>
  <c r="H34" i="62" s="1"/>
  <c r="J65" i="62" s="1"/>
  <c r="F20" i="62"/>
  <c r="F23" i="62"/>
  <c r="I38" i="62" l="1"/>
  <c r="I34" i="62"/>
  <c r="J67" i="62" s="1"/>
  <c r="J52" i="62"/>
  <c r="J54" i="62"/>
  <c r="J53" i="62"/>
  <c r="J55" i="62"/>
  <c r="J50" i="62"/>
  <c r="J51" i="62"/>
  <c r="I54" i="62"/>
  <c r="N86" i="62" s="1"/>
  <c r="I50" i="62"/>
  <c r="I52" i="62"/>
  <c r="I53" i="62"/>
  <c r="I55" i="62"/>
  <c r="I51" i="62"/>
  <c r="I39" i="62"/>
  <c r="I36" i="62"/>
  <c r="I37" i="62"/>
  <c r="I35" i="62"/>
  <c r="J39" i="62"/>
  <c r="J36" i="62"/>
  <c r="J37" i="62"/>
  <c r="J35" i="62"/>
  <c r="J38" i="62"/>
  <c r="J34" i="62"/>
  <c r="H37" i="62"/>
  <c r="M65" i="62" s="1"/>
  <c r="H38" i="62"/>
  <c r="N65" i="62" s="1"/>
  <c r="H36" i="62"/>
  <c r="L65" i="62" s="1"/>
  <c r="H35" i="62"/>
  <c r="H39" i="62"/>
  <c r="O65" i="62" s="1"/>
  <c r="K50" i="62"/>
  <c r="K55" i="62"/>
  <c r="K53" i="62"/>
  <c r="K51" i="62"/>
  <c r="K52" i="62"/>
  <c r="K54" i="62"/>
  <c r="H54" i="62"/>
  <c r="N85" i="62" s="1"/>
  <c r="F12" i="67" s="1"/>
  <c r="H51" i="62"/>
  <c r="K85" i="62" s="1"/>
  <c r="C12" i="67" s="1"/>
  <c r="H50" i="62"/>
  <c r="H52" i="62"/>
  <c r="L85" i="62" s="1"/>
  <c r="D12" i="67" s="1"/>
  <c r="H53" i="62"/>
  <c r="M85" i="62" s="1"/>
  <c r="E12" i="67" s="1"/>
  <c r="H55" i="62"/>
  <c r="O85" i="62" s="1"/>
  <c r="G12" i="67" s="1"/>
  <c r="K38" i="62"/>
  <c r="K34" i="62"/>
  <c r="K35" i="62"/>
  <c r="K37" i="62"/>
  <c r="K39" i="62"/>
  <c r="K36" i="62"/>
  <c r="J41" i="62" l="1"/>
  <c r="I41" i="62"/>
  <c r="I57" i="62"/>
  <c r="J86" i="62"/>
  <c r="B13" i="67" s="1"/>
  <c r="J57" i="62"/>
  <c r="H57" i="62"/>
  <c r="K65" i="62"/>
  <c r="H41" i="62"/>
  <c r="K57" i="62"/>
  <c r="K41" i="62"/>
  <c r="J72" i="62"/>
  <c r="J71" i="62"/>
  <c r="J74" i="62"/>
  <c r="J73" i="62"/>
  <c r="J70" i="62"/>
  <c r="J69" i="62"/>
  <c r="J68" i="62"/>
  <c r="J66" i="62"/>
  <c r="L72" i="62"/>
  <c r="L74" i="62"/>
  <c r="L73" i="62"/>
  <c r="L71" i="62"/>
  <c r="N91" i="62"/>
  <c r="F15" i="67" s="1"/>
  <c r="N94" i="62"/>
  <c r="N93" i="62"/>
  <c r="N92" i="62"/>
  <c r="O92" i="62"/>
  <c r="O91" i="62"/>
  <c r="G15" i="67" s="1"/>
  <c r="O94" i="62"/>
  <c r="O93" i="62"/>
  <c r="L68" i="62"/>
  <c r="L70" i="62"/>
  <c r="L69" i="62"/>
  <c r="N67" i="62"/>
  <c r="N66" i="62"/>
  <c r="K87" i="62"/>
  <c r="K86" i="62"/>
  <c r="C13" i="67" s="1"/>
  <c r="J87" i="62"/>
  <c r="O88" i="62"/>
  <c r="G14" i="67" s="1"/>
  <c r="O90" i="62"/>
  <c r="O89" i="62"/>
  <c r="O72" i="62"/>
  <c r="O71" i="62"/>
  <c r="O73" i="62"/>
  <c r="O74" i="62"/>
  <c r="N72" i="62"/>
  <c r="N73" i="62"/>
  <c r="N71" i="62"/>
  <c r="N74" i="62"/>
  <c r="J85" i="62"/>
  <c r="L93" i="62"/>
  <c r="L92" i="62"/>
  <c r="L91" i="62"/>
  <c r="D15" i="67" s="1"/>
  <c r="L94" i="62"/>
  <c r="J91" i="62"/>
  <c r="B15" i="67" s="1"/>
  <c r="J94" i="62"/>
  <c r="J93" i="62"/>
  <c r="J92" i="62"/>
  <c r="N68" i="62"/>
  <c r="N69" i="62"/>
  <c r="N70" i="62"/>
  <c r="O68" i="62"/>
  <c r="O70" i="62"/>
  <c r="O69" i="62"/>
  <c r="O87" i="62"/>
  <c r="O86" i="62"/>
  <c r="G13" i="67" s="1"/>
  <c r="N87" i="62"/>
  <c r="F13" i="67"/>
  <c r="M90" i="62"/>
  <c r="M89" i="62"/>
  <c r="M88" i="62"/>
  <c r="E14" i="67" s="1"/>
  <c r="M72" i="62"/>
  <c r="M74" i="62"/>
  <c r="M73" i="62"/>
  <c r="M71" i="62"/>
  <c r="K92" i="62"/>
  <c r="K91" i="62"/>
  <c r="C15" i="67" s="1"/>
  <c r="K93" i="62"/>
  <c r="K94" i="62"/>
  <c r="K68" i="62"/>
  <c r="K70" i="62"/>
  <c r="K69" i="62"/>
  <c r="K66" i="62"/>
  <c r="K67" i="62"/>
  <c r="L67" i="62"/>
  <c r="L66" i="62"/>
  <c r="M86" i="62"/>
  <c r="E13" i="67" s="1"/>
  <c r="M87" i="62"/>
  <c r="K88" i="62"/>
  <c r="C14" i="67" s="1"/>
  <c r="K90" i="62"/>
  <c r="K89" i="62"/>
  <c r="N90" i="62"/>
  <c r="N89" i="62"/>
  <c r="N88" i="62"/>
  <c r="F14" i="67" s="1"/>
  <c r="K72" i="62"/>
  <c r="K71" i="62"/>
  <c r="K73" i="62"/>
  <c r="K74" i="62"/>
  <c r="M94" i="62"/>
  <c r="M93" i="62"/>
  <c r="M92" i="62"/>
  <c r="M91" i="62"/>
  <c r="E15" i="67" s="1"/>
  <c r="M68" i="62"/>
  <c r="M69" i="62"/>
  <c r="M70" i="62"/>
  <c r="M66" i="62"/>
  <c r="M67" i="62"/>
  <c r="O66" i="62"/>
  <c r="O67" i="62"/>
  <c r="L87" i="62"/>
  <c r="L86" i="62"/>
  <c r="D13" i="67" s="1"/>
  <c r="J90" i="62"/>
  <c r="J89" i="62"/>
  <c r="J88" i="62"/>
  <c r="B14" i="67" s="1"/>
  <c r="L89" i="62"/>
  <c r="L88" i="62"/>
  <c r="D14" i="67" s="1"/>
  <c r="L90" i="62"/>
  <c r="G13" i="65" l="1"/>
  <c r="C13" i="65"/>
  <c r="I13" i="65"/>
  <c r="B12" i="67"/>
  <c r="F13" i="65"/>
  <c r="M13" i="65"/>
  <c r="B13" i="65"/>
  <c r="E15" i="65"/>
  <c r="C16" i="65"/>
  <c r="K16" i="65"/>
  <c r="D16" i="65"/>
  <c r="L13" i="65"/>
  <c r="E14" i="65"/>
  <c r="L14" i="65"/>
  <c r="N16" i="65"/>
  <c r="K14" i="65"/>
  <c r="M14" i="65"/>
  <c r="N13" i="65"/>
  <c r="I15" i="65"/>
  <c r="L15" i="65"/>
  <c r="F15" i="65"/>
  <c r="I14" i="65"/>
  <c r="F14" i="65"/>
  <c r="B14" i="65"/>
  <c r="B16" i="65"/>
  <c r="K15" i="65"/>
  <c r="L16" i="65"/>
  <c r="M15" i="65"/>
  <c r="D14" i="65"/>
  <c r="N14" i="65"/>
  <c r="G15" i="65"/>
  <c r="I16" i="65"/>
  <c r="F16" i="65"/>
  <c r="M16" i="65"/>
  <c r="E13" i="65"/>
  <c r="J13" i="65"/>
  <c r="D13" i="65"/>
  <c r="K13" i="65"/>
  <c r="C15" i="65"/>
  <c r="C14" i="65"/>
  <c r="E16" i="65"/>
  <c r="D15" i="65"/>
  <c r="G14" i="65"/>
  <c r="J15" i="65"/>
  <c r="J16" i="65"/>
  <c r="G16" i="65"/>
  <c r="N15" i="65"/>
  <c r="J14" i="65"/>
  <c r="B15" i="65"/>
  <c r="N18" i="65" l="1"/>
  <c r="D23" i="62" l="1"/>
  <c r="J23" i="62" s="1"/>
  <c r="D20" i="62"/>
  <c r="J10" i="62"/>
  <c r="L37" i="62" l="1"/>
  <c r="J20" i="62"/>
  <c r="J19" i="62" s="1"/>
  <c r="L36" i="62"/>
  <c r="L35" i="62"/>
  <c r="L38" i="62"/>
  <c r="L39" i="62"/>
  <c r="L34" i="62"/>
  <c r="L50" i="62"/>
  <c r="L52" i="62"/>
  <c r="L51" i="62"/>
  <c r="L53" i="62"/>
  <c r="L55" i="62"/>
  <c r="J22" i="62"/>
  <c r="L54" i="62"/>
  <c r="L57" i="62" l="1"/>
  <c r="J75" i="62"/>
  <c r="L41" i="62"/>
  <c r="J79" i="62"/>
  <c r="B13" i="64" s="1"/>
  <c r="J78" i="62"/>
  <c r="B14" i="64" s="1"/>
  <c r="J77" i="62"/>
  <c r="B15" i="64" s="1"/>
  <c r="J76" i="62"/>
  <c r="B16" i="64" s="1"/>
  <c r="O97" i="62"/>
  <c r="N15" i="64" s="1"/>
  <c r="O96" i="62"/>
  <c r="N16" i="64" s="1"/>
  <c r="O99" i="62"/>
  <c r="N13" i="64" s="1"/>
  <c r="O95" i="62"/>
  <c r="O98" i="62"/>
  <c r="N14" i="64" s="1"/>
  <c r="J99" i="62"/>
  <c r="I13" i="64" s="1"/>
  <c r="J95" i="62"/>
  <c r="J98" i="62"/>
  <c r="I14" i="64" s="1"/>
  <c r="J97" i="62"/>
  <c r="I15" i="64" s="1"/>
  <c r="J96" i="62"/>
  <c r="I16" i="64" s="1"/>
  <c r="K76" i="62"/>
  <c r="C16" i="64" s="1"/>
  <c r="K77" i="62"/>
  <c r="C15" i="64" s="1"/>
  <c r="K78" i="62"/>
  <c r="C14" i="64" s="1"/>
  <c r="K75" i="62"/>
  <c r="C17" i="64" s="1"/>
  <c r="K79" i="62"/>
  <c r="C13" i="64" s="1"/>
  <c r="M98" i="62"/>
  <c r="L14" i="64" s="1"/>
  <c r="M97" i="62"/>
  <c r="L15" i="64" s="1"/>
  <c r="M99" i="62"/>
  <c r="L13" i="64" s="1"/>
  <c r="M96" i="62"/>
  <c r="L16" i="64" s="1"/>
  <c r="M95" i="62"/>
  <c r="L76" i="62"/>
  <c r="D16" i="64" s="1"/>
  <c r="L75" i="62"/>
  <c r="D17" i="64" s="1"/>
  <c r="L77" i="62"/>
  <c r="D15" i="64" s="1"/>
  <c r="L79" i="62"/>
  <c r="D13" i="64" s="1"/>
  <c r="L78" i="62"/>
  <c r="D14" i="64" s="1"/>
  <c r="N99" i="62"/>
  <c r="M13" i="64" s="1"/>
  <c r="N95" i="62"/>
  <c r="N98" i="62"/>
  <c r="M14" i="64" s="1"/>
  <c r="N96" i="62"/>
  <c r="M16" i="64" s="1"/>
  <c r="N97" i="62"/>
  <c r="M15" i="64" s="1"/>
  <c r="K96" i="62"/>
  <c r="J16" i="64" s="1"/>
  <c r="K95" i="62"/>
  <c r="K99" i="62"/>
  <c r="J13" i="64" s="1"/>
  <c r="K98" i="62"/>
  <c r="J14" i="64" s="1"/>
  <c r="K97" i="62"/>
  <c r="J15" i="64" s="1"/>
  <c r="O76" i="62"/>
  <c r="G16" i="64" s="1"/>
  <c r="O77" i="62"/>
  <c r="G15" i="64" s="1"/>
  <c r="O75" i="62"/>
  <c r="G17" i="64" s="1"/>
  <c r="O79" i="62"/>
  <c r="G13" i="64" s="1"/>
  <c r="O78" i="62"/>
  <c r="G14" i="64" s="1"/>
  <c r="L97" i="62"/>
  <c r="K15" i="64" s="1"/>
  <c r="L96" i="62"/>
  <c r="K16" i="64" s="1"/>
  <c r="L99" i="62"/>
  <c r="K13" i="64" s="1"/>
  <c r="L98" i="62"/>
  <c r="K14" i="64" s="1"/>
  <c r="L95" i="62"/>
  <c r="N76" i="62"/>
  <c r="F16" i="64" s="1"/>
  <c r="N78" i="62"/>
  <c r="F14" i="64" s="1"/>
  <c r="N79" i="62"/>
  <c r="F13" i="64" s="1"/>
  <c r="N77" i="62"/>
  <c r="F15" i="64" s="1"/>
  <c r="N75" i="62"/>
  <c r="F17" i="64" s="1"/>
  <c r="M76" i="62"/>
  <c r="E16" i="64" s="1"/>
  <c r="M79" i="62"/>
  <c r="E13" i="64" s="1"/>
  <c r="M78" i="62"/>
  <c r="E14" i="64" s="1"/>
  <c r="M77" i="62"/>
  <c r="E15" i="64" s="1"/>
  <c r="M75" i="62"/>
  <c r="E17" i="64" s="1"/>
  <c r="B17" i="64" l="1"/>
  <c r="K17" i="64"/>
  <c r="D16" i="67"/>
  <c r="J17" i="64"/>
  <c r="C16" i="67"/>
  <c r="M17" i="64"/>
  <c r="F16" i="67"/>
  <c r="N17" i="64"/>
  <c r="G16" i="67"/>
  <c r="L17" i="64"/>
  <c r="E16" i="67"/>
  <c r="I17" i="64"/>
  <c r="B16" i="67"/>
  <c r="N18" i="64" l="1"/>
  <c r="F25" i="64" l="1"/>
  <c r="C25" i="64"/>
  <c r="C33" i="64" s="1"/>
  <c r="D25" i="64"/>
  <c r="D33" i="64" s="1"/>
  <c r="E25" i="64"/>
  <c r="E33" i="64" s="1"/>
  <c r="G25" i="64"/>
  <c r="G33" i="64" s="1"/>
  <c r="C84" i="64" l="1"/>
  <c r="C24" i="64"/>
  <c r="C32" i="64" s="1"/>
  <c r="C24" i="65"/>
  <c r="C32" i="65" s="1"/>
  <c r="D84" i="64"/>
  <c r="D43" i="64"/>
  <c r="D73" i="64"/>
  <c r="D24" i="65"/>
  <c r="D32" i="65" s="1"/>
  <c r="D24" i="64"/>
  <c r="D32" i="64" s="1"/>
  <c r="C24" i="67"/>
  <c r="C32" i="67" s="1"/>
  <c r="J25" i="64"/>
  <c r="J33" i="64" s="1"/>
  <c r="C43" i="64"/>
  <c r="C73" i="64"/>
  <c r="B24" i="67"/>
  <c r="B32" i="67" s="1"/>
  <c r="I25" i="64"/>
  <c r="I33" i="64" s="1"/>
  <c r="G24" i="65"/>
  <c r="G32" i="65" s="1"/>
  <c r="G24" i="64"/>
  <c r="G32" i="64" s="1"/>
  <c r="L25" i="64"/>
  <c r="L33" i="64" s="1"/>
  <c r="E24" i="67"/>
  <c r="E32" i="67" s="1"/>
  <c r="G43" i="64"/>
  <c r="G73" i="64"/>
  <c r="E24" i="64"/>
  <c r="E32" i="64" s="1"/>
  <c r="E24" i="65"/>
  <c r="E32" i="65" s="1"/>
  <c r="E84" i="64"/>
  <c r="E73" i="64"/>
  <c r="E43" i="64"/>
  <c r="F84" i="64"/>
  <c r="F33" i="64"/>
  <c r="B25" i="64"/>
  <c r="G42" i="64" l="1"/>
  <c r="E17" i="66"/>
  <c r="E58" i="66" s="1"/>
  <c r="B41" i="67"/>
  <c r="D17" i="66"/>
  <c r="D58" i="66" s="1"/>
  <c r="E41" i="67"/>
  <c r="C41" i="67"/>
  <c r="F73" i="64"/>
  <c r="F43" i="64"/>
  <c r="M25" i="64"/>
  <c r="F24" i="67"/>
  <c r="F32" i="67" s="1"/>
  <c r="I73" i="64"/>
  <c r="I84" i="64"/>
  <c r="D42" i="64"/>
  <c r="D83" i="64"/>
  <c r="D72" i="64"/>
  <c r="F17" i="66"/>
  <c r="G84" i="64"/>
  <c r="L84" i="64"/>
  <c r="L73" i="64"/>
  <c r="I107" i="1"/>
  <c r="D83" i="65"/>
  <c r="D72" i="65"/>
  <c r="D42" i="65"/>
  <c r="C72" i="65"/>
  <c r="C42" i="65"/>
  <c r="G24" i="67"/>
  <c r="G32" i="67" s="1"/>
  <c r="N25" i="64"/>
  <c r="N33" i="64" s="1"/>
  <c r="C42" i="64"/>
  <c r="C72" i="64"/>
  <c r="G72" i="64"/>
  <c r="G42" i="65"/>
  <c r="G72" i="65"/>
  <c r="J84" i="64"/>
  <c r="J73" i="64"/>
  <c r="B33" i="64"/>
  <c r="F24" i="64"/>
  <c r="F24" i="65"/>
  <c r="E83" i="65"/>
  <c r="E72" i="65"/>
  <c r="E42" i="65"/>
  <c r="E42" i="64"/>
  <c r="E83" i="64"/>
  <c r="E72" i="64"/>
  <c r="B24" i="64"/>
  <c r="B24" i="65"/>
  <c r="D24" i="67"/>
  <c r="D32" i="67" s="1"/>
  <c r="K25" i="64"/>
  <c r="K33" i="64" s="1"/>
  <c r="L43" i="64" l="1"/>
  <c r="B84" i="64"/>
  <c r="L17" i="66"/>
  <c r="L58" i="66" s="1"/>
  <c r="D41" i="67"/>
  <c r="G17" i="66"/>
  <c r="D28" i="66" s="1"/>
  <c r="J17" i="66"/>
  <c r="J58" i="66" s="1"/>
  <c r="B32" i="64"/>
  <c r="B83" i="64"/>
  <c r="M33" i="64"/>
  <c r="M84" i="64"/>
  <c r="B32" i="65"/>
  <c r="B83" i="65"/>
  <c r="J43" i="64"/>
  <c r="E16" i="66"/>
  <c r="E57" i="66" s="1"/>
  <c r="I17" i="66"/>
  <c r="I43" i="64"/>
  <c r="B43" i="64"/>
  <c r="B73" i="64"/>
  <c r="N73" i="64"/>
  <c r="N43" i="64"/>
  <c r="C17" i="66"/>
  <c r="F32" i="65"/>
  <c r="F83" i="65"/>
  <c r="D16" i="66"/>
  <c r="K73" i="64"/>
  <c r="K43" i="64"/>
  <c r="K84" i="64"/>
  <c r="F83" i="64"/>
  <c r="F32" i="64"/>
  <c r="F58" i="66"/>
  <c r="B17" i="66" l="1"/>
  <c r="B28" i="66" s="1"/>
  <c r="G41" i="67"/>
  <c r="E28" i="66"/>
  <c r="B42" i="65"/>
  <c r="M73" i="64"/>
  <c r="B42" i="64"/>
  <c r="F28" i="66"/>
  <c r="G28" i="66"/>
  <c r="M43" i="64"/>
  <c r="G58" i="66"/>
  <c r="B72" i="64"/>
  <c r="G83" i="65"/>
  <c r="C83" i="65"/>
  <c r="N84" i="64"/>
  <c r="C83" i="64"/>
  <c r="K17" i="66"/>
  <c r="K58" i="66" s="1"/>
  <c r="B72" i="65"/>
  <c r="M17" i="66"/>
  <c r="M58" i="66" s="1"/>
  <c r="D57" i="66"/>
  <c r="F42" i="64"/>
  <c r="F72" i="64"/>
  <c r="G83" i="64"/>
  <c r="F16" i="66"/>
  <c r="I58" i="66"/>
  <c r="B16" i="66"/>
  <c r="F72" i="65"/>
  <c r="F42" i="65"/>
  <c r="B95" i="64"/>
  <c r="C28" i="66"/>
  <c r="C58" i="66"/>
  <c r="B58" i="66" l="1"/>
  <c r="C95" i="64"/>
  <c r="C71" i="66" s="1"/>
  <c r="B94" i="65"/>
  <c r="G16" i="66"/>
  <c r="B27" i="66" s="1"/>
  <c r="C16" i="66"/>
  <c r="C57" i="66" s="1"/>
  <c r="N17" i="66"/>
  <c r="M28" i="66" s="1"/>
  <c r="B94" i="64"/>
  <c r="B71" i="66"/>
  <c r="F57" i="66"/>
  <c r="B57" i="66"/>
  <c r="D95" i="64" l="1"/>
  <c r="B84" i="66" s="1"/>
  <c r="D84" i="66" s="1"/>
  <c r="B70" i="66"/>
  <c r="G27" i="66"/>
  <c r="C27" i="66"/>
  <c r="F27" i="66"/>
  <c r="D27" i="66"/>
  <c r="E27" i="66"/>
  <c r="G57" i="66"/>
  <c r="L28" i="66"/>
  <c r="J28" i="66"/>
  <c r="I28" i="66"/>
  <c r="K28" i="66"/>
  <c r="N28" i="66"/>
  <c r="N58" i="66"/>
  <c r="D71" i="66"/>
  <c r="E71" i="66" s="1"/>
  <c r="E95" i="64" l="1"/>
  <c r="E84" i="66"/>
  <c r="B21" i="65"/>
  <c r="B29" i="65" s="1"/>
  <c r="B21" i="64"/>
  <c r="B29" i="64" s="1"/>
  <c r="E21" i="64"/>
  <c r="E29" i="64" s="1"/>
  <c r="G21" i="65"/>
  <c r="G29" i="65" s="1"/>
  <c r="C21" i="65"/>
  <c r="C29" i="65" s="1"/>
  <c r="C21" i="64"/>
  <c r="C29" i="64" s="1"/>
  <c r="F21" i="64"/>
  <c r="D21" i="64"/>
  <c r="D29" i="64" s="1"/>
  <c r="F21" i="65" l="1"/>
  <c r="F29" i="65" s="1"/>
  <c r="G21" i="64"/>
  <c r="G29" i="64" s="1"/>
  <c r="D21" i="65"/>
  <c r="D29" i="65" s="1"/>
  <c r="E21" i="65"/>
  <c r="E29" i="65" s="1"/>
  <c r="D80" i="64"/>
  <c r="D69" i="64"/>
  <c r="G69" i="65"/>
  <c r="G39" i="65"/>
  <c r="E69" i="64"/>
  <c r="E80" i="64"/>
  <c r="F29" i="64"/>
  <c r="C80" i="64"/>
  <c r="C69" i="64"/>
  <c r="B80" i="64"/>
  <c r="B69" i="64"/>
  <c r="C80" i="65"/>
  <c r="C39" i="65"/>
  <c r="C69" i="65"/>
  <c r="B80" i="65"/>
  <c r="B39" i="65"/>
  <c r="B69" i="65"/>
  <c r="E69" i="65" l="1"/>
  <c r="D80" i="65"/>
  <c r="C20" i="72"/>
  <c r="F80" i="65"/>
  <c r="C39" i="64"/>
  <c r="E39" i="65"/>
  <c r="B39" i="64"/>
  <c r="F80" i="64"/>
  <c r="G69" i="64"/>
  <c r="D39" i="64"/>
  <c r="E39" i="64"/>
  <c r="G39" i="64"/>
  <c r="D39" i="65"/>
  <c r="D69" i="65"/>
  <c r="E80" i="65"/>
  <c r="C19" i="72"/>
  <c r="C13" i="66"/>
  <c r="E19" i="72"/>
  <c r="F69" i="65"/>
  <c r="F39" i="65"/>
  <c r="B20" i="72"/>
  <c r="F69" i="64"/>
  <c r="F39" i="64"/>
  <c r="B19" i="72"/>
  <c r="B13" i="66"/>
  <c r="D19" i="72"/>
  <c r="B79" i="64" l="1"/>
  <c r="D20" i="72"/>
  <c r="D13" i="66"/>
  <c r="D54" i="66" s="1"/>
  <c r="G80" i="65"/>
  <c r="C21" i="72"/>
  <c r="F13" i="66"/>
  <c r="F54" i="66" s="1"/>
  <c r="E20" i="72"/>
  <c r="F20" i="72"/>
  <c r="B79" i="65"/>
  <c r="F19" i="72"/>
  <c r="G80" i="64"/>
  <c r="E13" i="66"/>
  <c r="E54" i="66" s="1"/>
  <c r="B21" i="72"/>
  <c r="B54" i="66"/>
  <c r="C54" i="66"/>
  <c r="D21" i="72" l="1"/>
  <c r="E21" i="72"/>
  <c r="B91" i="65"/>
  <c r="C79" i="65"/>
  <c r="B90" i="65" s="1"/>
  <c r="B60" i="71" s="1"/>
  <c r="G20" i="72"/>
  <c r="G13" i="66"/>
  <c r="B24" i="66" s="1"/>
  <c r="F21" i="72"/>
  <c r="G19" i="72"/>
  <c r="C79" i="64"/>
  <c r="B91" i="64"/>
  <c r="B67" i="66" l="1"/>
  <c r="B26" i="72"/>
  <c r="G24" i="66"/>
  <c r="G54" i="66"/>
  <c r="G21" i="72"/>
  <c r="D24" i="66"/>
  <c r="E24" i="66"/>
  <c r="C24" i="66"/>
  <c r="F24" i="66"/>
  <c r="B90" i="64"/>
  <c r="B59" i="71" s="1"/>
  <c r="B25" i="72"/>
  <c r="B27" i="72" s="1"/>
  <c r="B61" i="71" l="1"/>
  <c r="L24" i="64"/>
  <c r="L32" i="64" s="1"/>
  <c r="L24" i="65"/>
  <c r="L32" i="65" s="1"/>
  <c r="E23" i="67"/>
  <c r="E31" i="67" s="1"/>
  <c r="M24" i="64"/>
  <c r="F23" i="67"/>
  <c r="F31" i="67" s="1"/>
  <c r="M24" i="65"/>
  <c r="J24" i="65"/>
  <c r="J32" i="65" s="1"/>
  <c r="J24" i="64"/>
  <c r="J32" i="64" s="1"/>
  <c r="C23" i="67"/>
  <c r="C31" i="67" s="1"/>
  <c r="N24" i="65"/>
  <c r="N32" i="65" s="1"/>
  <c r="G23" i="67"/>
  <c r="G31" i="67" s="1"/>
  <c r="N24" i="64"/>
  <c r="N32" i="64" s="1"/>
  <c r="K24" i="64"/>
  <c r="K32" i="64" s="1"/>
  <c r="K24" i="65"/>
  <c r="K32" i="65" s="1"/>
  <c r="D23" i="67"/>
  <c r="D31" i="67" s="1"/>
  <c r="I106" i="1"/>
  <c r="I24" i="65"/>
  <c r="I32" i="65" s="1"/>
  <c r="I24" i="64"/>
  <c r="I32" i="64" s="1"/>
  <c r="B23" i="67"/>
  <c r="B31" i="67" s="1"/>
  <c r="C40" i="67" l="1"/>
  <c r="E40" i="67"/>
  <c r="B40" i="67"/>
  <c r="D40" i="67"/>
  <c r="M32" i="64"/>
  <c r="M83" i="64"/>
  <c r="M32" i="65"/>
  <c r="M83" i="65"/>
  <c r="J42" i="64"/>
  <c r="J83" i="64"/>
  <c r="J72" i="64"/>
  <c r="J72" i="65"/>
  <c r="J42" i="65"/>
  <c r="J83" i="65"/>
  <c r="K83" i="65"/>
  <c r="K42" i="65"/>
  <c r="K72" i="65"/>
  <c r="K83" i="64"/>
  <c r="K42" i="64"/>
  <c r="K72" i="64"/>
  <c r="N42" i="64"/>
  <c r="N72" i="64"/>
  <c r="I83" i="64"/>
  <c r="I42" i="64"/>
  <c r="I72" i="64"/>
  <c r="N42" i="65"/>
  <c r="N72" i="65"/>
  <c r="L72" i="65"/>
  <c r="L42" i="65"/>
  <c r="L83" i="65"/>
  <c r="I83" i="65"/>
  <c r="I42" i="65"/>
  <c r="I72" i="65"/>
  <c r="L83" i="64"/>
  <c r="L42" i="64"/>
  <c r="L72" i="64"/>
  <c r="G40" i="67" l="1"/>
  <c r="M42" i="64"/>
  <c r="M42" i="65"/>
  <c r="M72" i="65"/>
  <c r="M72" i="64"/>
  <c r="N83" i="65"/>
  <c r="N83" i="64"/>
  <c r="M16" i="66"/>
  <c r="M57" i="66" s="1"/>
  <c r="I16" i="66"/>
  <c r="K16" i="66"/>
  <c r="L16" i="66"/>
  <c r="J16" i="66"/>
  <c r="C94" i="65" l="1"/>
  <c r="D94" i="65" s="1"/>
  <c r="E94" i="65" s="1"/>
  <c r="C94" i="64"/>
  <c r="N16" i="66"/>
  <c r="N57" i="66" s="1"/>
  <c r="J57" i="66"/>
  <c r="K57" i="66"/>
  <c r="L57" i="66"/>
  <c r="I57" i="66"/>
  <c r="K27" i="66" l="1"/>
  <c r="C83" i="66"/>
  <c r="C70" i="66"/>
  <c r="I27" i="66"/>
  <c r="J27" i="66"/>
  <c r="D94" i="64"/>
  <c r="E94" i="64" s="1"/>
  <c r="M27" i="66"/>
  <c r="L27" i="66"/>
  <c r="N27" i="66"/>
  <c r="B83" i="66" l="1"/>
  <c r="D83" i="66" s="1"/>
  <c r="D70" i="66"/>
  <c r="E70" i="66" s="1"/>
  <c r="E83" i="66" l="1"/>
  <c r="B20" i="67"/>
  <c r="B28" i="67" s="1"/>
  <c r="C20" i="67"/>
  <c r="C28" i="67" s="1"/>
  <c r="D20" i="67"/>
  <c r="D28" i="67" s="1"/>
  <c r="J21" i="65" l="1"/>
  <c r="J21" i="64"/>
  <c r="I21" i="65"/>
  <c r="I21" i="64"/>
  <c r="K21" i="65"/>
  <c r="K21" i="64"/>
  <c r="E20" i="67"/>
  <c r="E28" i="67" s="1"/>
  <c r="G20" i="67"/>
  <c r="G28" i="67" s="1"/>
  <c r="F20" i="67"/>
  <c r="F28" i="67" s="1"/>
  <c r="N21" i="65" l="1"/>
  <c r="N21" i="64"/>
  <c r="M21" i="65"/>
  <c r="M21" i="64"/>
  <c r="L21" i="64"/>
  <c r="L21" i="65"/>
  <c r="I103" i="1"/>
  <c r="M80" i="65" l="1"/>
  <c r="M80" i="64"/>
  <c r="M79" i="64"/>
  <c r="F15" i="71" s="1"/>
  <c r="B37" i="67"/>
  <c r="I29" i="65"/>
  <c r="K29" i="65"/>
  <c r="D37" i="67"/>
  <c r="M29" i="65"/>
  <c r="F37" i="67"/>
  <c r="E37" i="67"/>
  <c r="L29" i="65"/>
  <c r="N29" i="65"/>
  <c r="G37" i="67"/>
  <c r="J29" i="65"/>
  <c r="C37" i="67"/>
  <c r="N80" i="64" l="1"/>
  <c r="N80" i="65"/>
  <c r="M79" i="65"/>
  <c r="N79" i="64"/>
  <c r="G15" i="71" s="1"/>
  <c r="N29" i="64"/>
  <c r="K69" i="65"/>
  <c r="K39" i="65"/>
  <c r="K80" i="65"/>
  <c r="K79" i="65"/>
  <c r="M29" i="64"/>
  <c r="M39" i="65"/>
  <c r="L20" i="72"/>
  <c r="M69" i="65"/>
  <c r="I69" i="65"/>
  <c r="I79" i="65"/>
  <c r="I80" i="65"/>
  <c r="I39" i="65"/>
  <c r="J29" i="64"/>
  <c r="L80" i="65"/>
  <c r="L69" i="65"/>
  <c r="L39" i="65"/>
  <c r="L79" i="65"/>
  <c r="I29" i="64"/>
  <c r="N69" i="65"/>
  <c r="N39" i="65"/>
  <c r="L29" i="64"/>
  <c r="K29" i="64"/>
  <c r="J69" i="65"/>
  <c r="J39" i="65"/>
  <c r="J79" i="65"/>
  <c r="J80" i="65"/>
  <c r="F16" i="71" l="1"/>
  <c r="M20" i="72"/>
  <c r="D16" i="71"/>
  <c r="D21" i="71" s="1"/>
  <c r="I20" i="72"/>
  <c r="E16" i="71"/>
  <c r="E21" i="71" s="1"/>
  <c r="N79" i="65"/>
  <c r="J20" i="72"/>
  <c r="C16" i="71"/>
  <c r="C21" i="71" s="1"/>
  <c r="B16" i="71"/>
  <c r="B21" i="71" s="1"/>
  <c r="K20" i="72"/>
  <c r="L79" i="64"/>
  <c r="L39" i="64"/>
  <c r="L69" i="64"/>
  <c r="L80" i="64"/>
  <c r="M39" i="64"/>
  <c r="F20" i="71"/>
  <c r="M69" i="64"/>
  <c r="J79" i="64"/>
  <c r="J69" i="64"/>
  <c r="J39" i="64"/>
  <c r="J80" i="64"/>
  <c r="K79" i="64"/>
  <c r="K69" i="64"/>
  <c r="K39" i="64"/>
  <c r="K80" i="64"/>
  <c r="H20" i="72"/>
  <c r="C91" i="65"/>
  <c r="D91" i="65" s="1"/>
  <c r="I79" i="64"/>
  <c r="B15" i="71" s="1"/>
  <c r="I80" i="64"/>
  <c r="I69" i="64"/>
  <c r="I39" i="64"/>
  <c r="G20" i="71"/>
  <c r="N69" i="64"/>
  <c r="N39" i="64"/>
  <c r="F21" i="71" l="1"/>
  <c r="F39" i="71" s="1"/>
  <c r="F40" i="71"/>
  <c r="F38" i="71"/>
  <c r="C90" i="65"/>
  <c r="C60" i="71" s="1"/>
  <c r="E39" i="71"/>
  <c r="E40" i="71"/>
  <c r="E38" i="71"/>
  <c r="B38" i="71"/>
  <c r="B39" i="71"/>
  <c r="B40" i="71"/>
  <c r="C39" i="71"/>
  <c r="C40" i="71"/>
  <c r="C38" i="71"/>
  <c r="D40" i="71"/>
  <c r="D39" i="71"/>
  <c r="D38" i="71"/>
  <c r="D15" i="71"/>
  <c r="C26" i="72"/>
  <c r="D26" i="72" s="1"/>
  <c r="E26" i="72" s="1"/>
  <c r="G16" i="71"/>
  <c r="C15" i="71"/>
  <c r="E15" i="71"/>
  <c r="B20" i="71"/>
  <c r="B34" i="71" s="1"/>
  <c r="C90" i="64"/>
  <c r="D90" i="64" s="1"/>
  <c r="F35" i="71"/>
  <c r="F36" i="71"/>
  <c r="F34" i="71"/>
  <c r="I19" i="72"/>
  <c r="J13" i="66"/>
  <c r="K13" i="66"/>
  <c r="J19" i="72"/>
  <c r="K19" i="72"/>
  <c r="L13" i="66"/>
  <c r="G34" i="71"/>
  <c r="G36" i="71"/>
  <c r="G35" i="71"/>
  <c r="I13" i="66"/>
  <c r="C91" i="64"/>
  <c r="H19" i="72"/>
  <c r="E91" i="65"/>
  <c r="C80" i="66"/>
  <c r="M19" i="72"/>
  <c r="N13" i="66"/>
  <c r="M13" i="66"/>
  <c r="L19" i="72"/>
  <c r="G21" i="71" l="1"/>
  <c r="I21" i="71" s="1"/>
  <c r="C20" i="71"/>
  <c r="D20" i="71"/>
  <c r="D35" i="71" s="1"/>
  <c r="E20" i="71"/>
  <c r="E35" i="71" s="1"/>
  <c r="D90" i="65"/>
  <c r="E90" i="65" s="1"/>
  <c r="C33" i="72"/>
  <c r="M38" i="72" s="1"/>
  <c r="B33" i="72"/>
  <c r="G38" i="72" s="1"/>
  <c r="G38" i="71"/>
  <c r="I38" i="71" s="1"/>
  <c r="B51" i="71" s="1"/>
  <c r="G40" i="71"/>
  <c r="I40" i="71" s="1"/>
  <c r="D51" i="71" s="1"/>
  <c r="C34" i="71"/>
  <c r="C35" i="71"/>
  <c r="C36" i="71"/>
  <c r="L21" i="72"/>
  <c r="M21" i="72"/>
  <c r="J21" i="72"/>
  <c r="I21" i="72"/>
  <c r="K21" i="72"/>
  <c r="D60" i="71"/>
  <c r="C66" i="71" s="1"/>
  <c r="B36" i="71"/>
  <c r="B35" i="71"/>
  <c r="C59" i="71"/>
  <c r="E90" i="64"/>
  <c r="N54" i="66"/>
  <c r="N24" i="66"/>
  <c r="H21" i="72"/>
  <c r="C25" i="72"/>
  <c r="I54" i="66"/>
  <c r="I24" i="66"/>
  <c r="C67" i="66"/>
  <c r="D91" i="64"/>
  <c r="M24" i="66"/>
  <c r="M54" i="66"/>
  <c r="L24" i="66"/>
  <c r="L54" i="66"/>
  <c r="J54" i="66"/>
  <c r="J24" i="66"/>
  <c r="K24" i="66"/>
  <c r="K54" i="66"/>
  <c r="E34" i="71" l="1"/>
  <c r="D34" i="71"/>
  <c r="I34" i="71" s="1"/>
  <c r="I20" i="71"/>
  <c r="G39" i="71"/>
  <c r="I39" i="71" s="1"/>
  <c r="C51" i="71" s="1"/>
  <c r="D36" i="71"/>
  <c r="E36" i="71"/>
  <c r="I36" i="71" s="1"/>
  <c r="I38" i="72"/>
  <c r="I35" i="71"/>
  <c r="C50" i="71" s="1"/>
  <c r="H38" i="72"/>
  <c r="E60" i="71"/>
  <c r="F38" i="72"/>
  <c r="D38" i="72"/>
  <c r="B38" i="72"/>
  <c r="E38" i="72"/>
  <c r="C38" i="72"/>
  <c r="B66" i="71"/>
  <c r="B71" i="71" s="1"/>
  <c r="J38" i="72"/>
  <c r="K38" i="72"/>
  <c r="L38" i="72"/>
  <c r="F71" i="71"/>
  <c r="I37" i="71"/>
  <c r="D67" i="66"/>
  <c r="E67" i="66" s="1"/>
  <c r="D71" i="71"/>
  <c r="B80" i="66"/>
  <c r="E91" i="64"/>
  <c r="C27" i="72"/>
  <c r="D25" i="72"/>
  <c r="C61" i="71"/>
  <c r="D59" i="71"/>
  <c r="D50" i="71" l="1"/>
  <c r="B50" i="71"/>
  <c r="C71" i="71"/>
  <c r="B77" i="71" s="1"/>
  <c r="I33" i="71"/>
  <c r="E71" i="71"/>
  <c r="C77" i="71" s="1"/>
  <c r="C52" i="71"/>
  <c r="C65" i="71"/>
  <c r="B65" i="71"/>
  <c r="D80" i="66"/>
  <c r="E59" i="71"/>
  <c r="D61" i="71"/>
  <c r="E61" i="71" s="1"/>
  <c r="B32" i="72"/>
  <c r="E25" i="72"/>
  <c r="C32" i="72"/>
  <c r="D27" i="72"/>
  <c r="E27" i="72" s="1"/>
  <c r="D52" i="71" l="1"/>
  <c r="B52" i="71"/>
  <c r="D70" i="71"/>
  <c r="D72" i="71" s="1"/>
  <c r="I12" i="66" s="1"/>
  <c r="E80" i="66"/>
  <c r="C70" i="71"/>
  <c r="C72" i="71" s="1"/>
  <c r="C12" i="66" s="1"/>
  <c r="C23" i="66" s="1"/>
  <c r="B70" i="71"/>
  <c r="C23" i="64"/>
  <c r="C31" i="64" s="1"/>
  <c r="C23" i="65"/>
  <c r="C31" i="65" s="1"/>
  <c r="G23" i="65"/>
  <c r="G31" i="65" s="1"/>
  <c r="G23" i="64"/>
  <c r="G31" i="64" s="1"/>
  <c r="B23" i="65"/>
  <c r="B23" i="64"/>
  <c r="D77" i="71"/>
  <c r="C79" i="66" s="1"/>
  <c r="M37" i="72"/>
  <c r="M39" i="72" s="1"/>
  <c r="J37" i="72"/>
  <c r="J39" i="72" s="1"/>
  <c r="I37" i="72"/>
  <c r="I39" i="72" s="1"/>
  <c r="K37" i="72"/>
  <c r="K39" i="72" s="1"/>
  <c r="L37" i="72"/>
  <c r="L39" i="72" s="1"/>
  <c r="H37" i="72"/>
  <c r="H39" i="72" s="1"/>
  <c r="E37" i="72"/>
  <c r="E39" i="72" s="1"/>
  <c r="F37" i="72"/>
  <c r="F39" i="72" s="1"/>
  <c r="G37" i="72"/>
  <c r="G39" i="72" s="1"/>
  <c r="C37" i="72"/>
  <c r="C39" i="72" s="1"/>
  <c r="B37" i="72"/>
  <c r="B39" i="72" s="1"/>
  <c r="D37" i="72"/>
  <c r="D39" i="72" s="1"/>
  <c r="F70" i="71"/>
  <c r="F72" i="71" s="1"/>
  <c r="K12" i="66" s="1"/>
  <c r="K23" i="66" s="1"/>
  <c r="E70" i="71"/>
  <c r="E72" i="71" s="1"/>
  <c r="J12" i="66" s="1"/>
  <c r="J23" i="66" l="1"/>
  <c r="I23" i="66"/>
  <c r="B31" i="64"/>
  <c r="B82" i="64"/>
  <c r="B31" i="65"/>
  <c r="B82" i="65"/>
  <c r="C76" i="71"/>
  <c r="C78" i="71" s="1"/>
  <c r="C66" i="66" s="1"/>
  <c r="E77" i="71"/>
  <c r="G41" i="64"/>
  <c r="G71" i="64"/>
  <c r="G41" i="65"/>
  <c r="G71" i="65"/>
  <c r="D23" i="65"/>
  <c r="D23" i="64"/>
  <c r="D31" i="64" s="1"/>
  <c r="C71" i="65"/>
  <c r="C41" i="65"/>
  <c r="C41" i="64"/>
  <c r="C71" i="64"/>
  <c r="B76" i="71"/>
  <c r="B72" i="71"/>
  <c r="B12" i="66" s="1"/>
  <c r="B23" i="66" s="1"/>
  <c r="B41" i="65" l="1"/>
  <c r="B41" i="64"/>
  <c r="C82" i="64"/>
  <c r="C82" i="65"/>
  <c r="B71" i="64"/>
  <c r="D31" i="65"/>
  <c r="B71" i="65"/>
  <c r="G22" i="67"/>
  <c r="G30" i="67" s="1"/>
  <c r="N23" i="65"/>
  <c r="N31" i="65" s="1"/>
  <c r="N23" i="64"/>
  <c r="N31" i="64" s="1"/>
  <c r="E23" i="64"/>
  <c r="E31" i="64" s="1"/>
  <c r="E23" i="65"/>
  <c r="E31" i="65" s="1"/>
  <c r="D22" i="67"/>
  <c r="D30" i="67" s="1"/>
  <c r="K23" i="65"/>
  <c r="K31" i="65" s="1"/>
  <c r="K23" i="64"/>
  <c r="K31" i="64" s="1"/>
  <c r="B15" i="66"/>
  <c r="L23" i="64"/>
  <c r="L31" i="64" s="1"/>
  <c r="E22" i="67"/>
  <c r="E30" i="67" s="1"/>
  <c r="L23" i="65"/>
  <c r="L31" i="65" s="1"/>
  <c r="F22" i="67"/>
  <c r="F30" i="67" s="1"/>
  <c r="M23" i="65"/>
  <c r="M23" i="64"/>
  <c r="I23" i="64"/>
  <c r="I31" i="64" s="1"/>
  <c r="I23" i="65"/>
  <c r="I31" i="65" s="1"/>
  <c r="I105" i="1"/>
  <c r="B22" i="67"/>
  <c r="B30" i="67" s="1"/>
  <c r="J23" i="65"/>
  <c r="J31" i="65" s="1"/>
  <c r="J23" i="64"/>
  <c r="J31" i="64" s="1"/>
  <c r="C22" i="67"/>
  <c r="C30" i="67" s="1"/>
  <c r="D82" i="64"/>
  <c r="D71" i="64"/>
  <c r="D41" i="64"/>
  <c r="D76" i="71"/>
  <c r="B78" i="71"/>
  <c r="D71" i="65" l="1"/>
  <c r="C15" i="66"/>
  <c r="C56" i="66" s="1"/>
  <c r="C39" i="67"/>
  <c r="D39" i="67"/>
  <c r="B39" i="67"/>
  <c r="E39" i="67"/>
  <c r="D41" i="65"/>
  <c r="D82" i="65"/>
  <c r="M31" i="65"/>
  <c r="M82" i="65"/>
  <c r="M31" i="64"/>
  <c r="M82" i="64"/>
  <c r="L71" i="65"/>
  <c r="L41" i="65"/>
  <c r="L82" i="65"/>
  <c r="N71" i="64"/>
  <c r="N41" i="64"/>
  <c r="K41" i="64"/>
  <c r="K71" i="64"/>
  <c r="K82" i="64"/>
  <c r="N71" i="65"/>
  <c r="N41" i="65"/>
  <c r="J82" i="64"/>
  <c r="J41" i="64"/>
  <c r="J71" i="64"/>
  <c r="L71" i="64"/>
  <c r="L41" i="64"/>
  <c r="L82" i="64"/>
  <c r="K41" i="65"/>
  <c r="K82" i="65"/>
  <c r="K71" i="65"/>
  <c r="J82" i="65"/>
  <c r="J41" i="65"/>
  <c r="J71" i="65"/>
  <c r="I41" i="65"/>
  <c r="I71" i="65"/>
  <c r="I82" i="65"/>
  <c r="F23" i="65"/>
  <c r="F23" i="64"/>
  <c r="I82" i="64"/>
  <c r="I71" i="64"/>
  <c r="I41" i="64"/>
  <c r="B56" i="66"/>
  <c r="E41" i="65"/>
  <c r="E71" i="65"/>
  <c r="E82" i="64"/>
  <c r="E41" i="64"/>
  <c r="E71" i="64"/>
  <c r="B66" i="66"/>
  <c r="E76" i="71"/>
  <c r="B79" i="66"/>
  <c r="D78" i="71"/>
  <c r="D79" i="71" s="1"/>
  <c r="G39" i="67" l="1"/>
  <c r="M71" i="64"/>
  <c r="M41" i="65"/>
  <c r="E82" i="65"/>
  <c r="N82" i="65"/>
  <c r="M71" i="65"/>
  <c r="N82" i="64"/>
  <c r="D15" i="66"/>
  <c r="D56" i="66" s="1"/>
  <c r="M41" i="64"/>
  <c r="E78" i="71"/>
  <c r="L15" i="66"/>
  <c r="M15" i="66"/>
  <c r="M56" i="66" s="1"/>
  <c r="I15" i="66"/>
  <c r="F82" i="64"/>
  <c r="F31" i="64"/>
  <c r="F82" i="65"/>
  <c r="F31" i="65"/>
  <c r="J15" i="66"/>
  <c r="K15" i="66"/>
  <c r="D79" i="66"/>
  <c r="D66" i="66"/>
  <c r="E66" i="66" s="1"/>
  <c r="N15" i="66" l="1"/>
  <c r="N26" i="66" s="1"/>
  <c r="C93" i="64"/>
  <c r="E15" i="66"/>
  <c r="E56" i="66" s="1"/>
  <c r="C93" i="65"/>
  <c r="E79" i="66"/>
  <c r="G82" i="65"/>
  <c r="L56" i="66"/>
  <c r="F15" i="66"/>
  <c r="G82" i="64"/>
  <c r="F41" i="64"/>
  <c r="F71" i="64"/>
  <c r="C22" i="65"/>
  <c r="C30" i="65" s="1"/>
  <c r="C22" i="64"/>
  <c r="C30" i="64" s="1"/>
  <c r="D122" i="1"/>
  <c r="F71" i="65"/>
  <c r="F41" i="65"/>
  <c r="G22" i="64"/>
  <c r="G30" i="64" s="1"/>
  <c r="G22" i="65"/>
  <c r="G30" i="65" s="1"/>
  <c r="H122" i="1"/>
  <c r="I56" i="66"/>
  <c r="K56" i="66"/>
  <c r="B22" i="65"/>
  <c r="B22" i="64"/>
  <c r="C122" i="1"/>
  <c r="J56" i="66"/>
  <c r="N56" i="66" l="1"/>
  <c r="I26" i="66"/>
  <c r="L26" i="66"/>
  <c r="J26" i="66"/>
  <c r="M26" i="66"/>
  <c r="K26" i="66"/>
  <c r="C69" i="66"/>
  <c r="G15" i="66"/>
  <c r="D26" i="66" s="1"/>
  <c r="B93" i="65"/>
  <c r="D93" i="65" s="1"/>
  <c r="E93" i="65" s="1"/>
  <c r="B30" i="65"/>
  <c r="B81" i="65"/>
  <c r="B30" i="64"/>
  <c r="B81" i="64"/>
  <c r="B93" i="64"/>
  <c r="C70" i="64"/>
  <c r="C70" i="65"/>
  <c r="C40" i="65"/>
  <c r="I22" i="65"/>
  <c r="I30" i="65" s="1"/>
  <c r="B21" i="67"/>
  <c r="B29" i="67" s="1"/>
  <c r="I22" i="64"/>
  <c r="C109" i="1"/>
  <c r="G40" i="65"/>
  <c r="G70" i="65"/>
  <c r="C40" i="64"/>
  <c r="G40" i="64"/>
  <c r="G70" i="64"/>
  <c r="E109" i="1"/>
  <c r="D22" i="65"/>
  <c r="D30" i="65" s="1"/>
  <c r="D22" i="64"/>
  <c r="D30" i="64" s="1"/>
  <c r="E122" i="1"/>
  <c r="F56" i="66"/>
  <c r="C26" i="66" l="1"/>
  <c r="F26" i="66"/>
  <c r="B70" i="65"/>
  <c r="B70" i="64"/>
  <c r="B40" i="64"/>
  <c r="E26" i="66"/>
  <c r="B26" i="66"/>
  <c r="G56" i="66"/>
  <c r="G26" i="66"/>
  <c r="C82" i="66"/>
  <c r="C81" i="65"/>
  <c r="C81" i="64"/>
  <c r="B69" i="66"/>
  <c r="B54" i="72"/>
  <c r="B40" i="65"/>
  <c r="D93" i="64"/>
  <c r="B82" i="66" s="1"/>
  <c r="C21" i="67"/>
  <c r="C29" i="67" s="1"/>
  <c r="J22" i="64"/>
  <c r="J22" i="65"/>
  <c r="J30" i="65" s="1"/>
  <c r="D109" i="1"/>
  <c r="E22" i="64"/>
  <c r="E30" i="64" s="1"/>
  <c r="E22" i="65"/>
  <c r="E30" i="65" s="1"/>
  <c r="F122" i="1"/>
  <c r="D21" i="67"/>
  <c r="D29" i="67" s="1"/>
  <c r="K22" i="65"/>
  <c r="K30" i="65" s="1"/>
  <c r="K22" i="64"/>
  <c r="I70" i="65"/>
  <c r="I81" i="65"/>
  <c r="N22" i="64"/>
  <c r="N22" i="65"/>
  <c r="N30" i="65" s="1"/>
  <c r="G21" i="67"/>
  <c r="G29" i="67" s="1"/>
  <c r="H109" i="1"/>
  <c r="D81" i="64"/>
  <c r="D40" i="64"/>
  <c r="D70" i="64"/>
  <c r="D40" i="65"/>
  <c r="D70" i="65"/>
  <c r="D81" i="65"/>
  <c r="L22" i="64"/>
  <c r="L22" i="65"/>
  <c r="L30" i="65" s="1"/>
  <c r="E21" i="67"/>
  <c r="E29" i="67" s="1"/>
  <c r="F109" i="1"/>
  <c r="I30" i="64"/>
  <c r="I26" i="64"/>
  <c r="M22" i="64"/>
  <c r="M22" i="65"/>
  <c r="F21" i="67"/>
  <c r="F29" i="67" s="1"/>
  <c r="G109" i="1"/>
  <c r="I104" i="1"/>
  <c r="B14" i="66"/>
  <c r="B53" i="72"/>
  <c r="I40" i="65" l="1"/>
  <c r="C14" i="66"/>
  <c r="C55" i="66" s="1"/>
  <c r="D69" i="66"/>
  <c r="E69" i="66" s="1"/>
  <c r="C53" i="72"/>
  <c r="D54" i="72"/>
  <c r="E38" i="67"/>
  <c r="D38" i="67"/>
  <c r="C38" i="67"/>
  <c r="D82" i="66"/>
  <c r="I109" i="1"/>
  <c r="C54" i="72"/>
  <c r="M81" i="64"/>
  <c r="M30" i="65"/>
  <c r="M81" i="65"/>
  <c r="E93" i="64"/>
  <c r="H54" i="72"/>
  <c r="M30" i="64"/>
  <c r="M26" i="64"/>
  <c r="L30" i="64"/>
  <c r="L26" i="64"/>
  <c r="D14" i="66"/>
  <c r="D53" i="72"/>
  <c r="F22" i="64"/>
  <c r="F22" i="65"/>
  <c r="G122" i="1"/>
  <c r="E40" i="65"/>
  <c r="E70" i="65"/>
  <c r="E81" i="65"/>
  <c r="E40" i="64"/>
  <c r="E81" i="64"/>
  <c r="E70" i="64"/>
  <c r="K30" i="64"/>
  <c r="K26" i="64"/>
  <c r="I70" i="64"/>
  <c r="I81" i="64"/>
  <c r="K81" i="65"/>
  <c r="K70" i="65"/>
  <c r="K40" i="65"/>
  <c r="J40" i="65"/>
  <c r="J81" i="65"/>
  <c r="J70" i="65"/>
  <c r="B55" i="66"/>
  <c r="N70" i="65"/>
  <c r="N40" i="65"/>
  <c r="J30" i="64"/>
  <c r="J26" i="64"/>
  <c r="L70" i="65"/>
  <c r="L81" i="65"/>
  <c r="L40" i="65"/>
  <c r="B55" i="72"/>
  <c r="N30" i="64"/>
  <c r="N26" i="64"/>
  <c r="G38" i="67" l="1"/>
  <c r="M70" i="65"/>
  <c r="M40" i="65"/>
  <c r="N81" i="65"/>
  <c r="N81" i="64"/>
  <c r="K54" i="72"/>
  <c r="I54" i="72"/>
  <c r="J54" i="72"/>
  <c r="C55" i="72"/>
  <c r="E54" i="72"/>
  <c r="E82" i="66"/>
  <c r="L54" i="72"/>
  <c r="D55" i="72"/>
  <c r="D55" i="66"/>
  <c r="E53" i="72"/>
  <c r="E14" i="66"/>
  <c r="K40" i="64"/>
  <c r="K81" i="64"/>
  <c r="K70" i="64"/>
  <c r="L81" i="64"/>
  <c r="L70" i="64"/>
  <c r="L40" i="64"/>
  <c r="N40" i="64"/>
  <c r="N70" i="64"/>
  <c r="M40" i="64"/>
  <c r="M70" i="64"/>
  <c r="F30" i="65"/>
  <c r="F81" i="65"/>
  <c r="I40" i="64"/>
  <c r="J81" i="64"/>
  <c r="J40" i="64"/>
  <c r="J70" i="64"/>
  <c r="H53" i="72"/>
  <c r="I14" i="66"/>
  <c r="F30" i="64"/>
  <c r="F81" i="64"/>
  <c r="C92" i="65" l="1"/>
  <c r="C97" i="65" s="1"/>
  <c r="C98" i="65" s="1"/>
  <c r="M54" i="72"/>
  <c r="C92" i="64"/>
  <c r="F70" i="64"/>
  <c r="F40" i="64"/>
  <c r="I55" i="66"/>
  <c r="E55" i="72"/>
  <c r="G81" i="65"/>
  <c r="F54" i="72"/>
  <c r="F40" i="65"/>
  <c r="F70" i="65"/>
  <c r="M14" i="66"/>
  <c r="L53" i="72"/>
  <c r="K53" i="72"/>
  <c r="L14" i="66"/>
  <c r="E55" i="66"/>
  <c r="I53" i="72"/>
  <c r="J14" i="66"/>
  <c r="H55" i="72"/>
  <c r="G81" i="64"/>
  <c r="F53" i="72"/>
  <c r="F14" i="66"/>
  <c r="N14" i="66"/>
  <c r="I25" i="66" s="1"/>
  <c r="M53" i="72"/>
  <c r="K14" i="66"/>
  <c r="J53" i="72"/>
  <c r="C68" i="66" l="1"/>
  <c r="C73" i="66" s="1"/>
  <c r="C60" i="72"/>
  <c r="C97" i="64"/>
  <c r="C59" i="72"/>
  <c r="K55" i="72"/>
  <c r="B92" i="65"/>
  <c r="G54" i="72"/>
  <c r="G53" i="72"/>
  <c r="G14" i="66"/>
  <c r="F25" i="66" s="1"/>
  <c r="B92" i="64"/>
  <c r="K25" i="66"/>
  <c r="K55" i="66"/>
  <c r="M55" i="66"/>
  <c r="M25" i="66"/>
  <c r="L55" i="66"/>
  <c r="L25" i="66"/>
  <c r="J25" i="66"/>
  <c r="J55" i="66"/>
  <c r="J55" i="72"/>
  <c r="L55" i="72"/>
  <c r="M55" i="72"/>
  <c r="F55" i="66"/>
  <c r="N55" i="66"/>
  <c r="N25" i="66"/>
  <c r="I55" i="72"/>
  <c r="F55" i="72"/>
  <c r="C61" i="72" l="1"/>
  <c r="D92" i="64"/>
  <c r="B81" i="66" s="1"/>
  <c r="B68" i="66"/>
  <c r="B97" i="64"/>
  <c r="G25" i="66"/>
  <c r="G55" i="66"/>
  <c r="C25" i="66"/>
  <c r="B25" i="66"/>
  <c r="D25" i="66"/>
  <c r="E25" i="66"/>
  <c r="B59" i="72"/>
  <c r="G55" i="72"/>
  <c r="B60" i="72"/>
  <c r="D92" i="65"/>
  <c r="B97" i="65"/>
  <c r="E92" i="65" l="1"/>
  <c r="C81" i="66"/>
  <c r="D60" i="72"/>
  <c r="E60" i="72" s="1"/>
  <c r="B61" i="72"/>
  <c r="D59" i="72"/>
  <c r="D68" i="66"/>
  <c r="E68" i="66" s="1"/>
  <c r="B73" i="66"/>
  <c r="D97" i="64"/>
  <c r="D98" i="64" s="1"/>
  <c r="E92" i="64"/>
  <c r="B98" i="65"/>
  <c r="D97" i="65"/>
  <c r="D98" i="65" s="1"/>
  <c r="B86" i="66"/>
  <c r="B67" i="72" l="1"/>
  <c r="C67" i="72"/>
  <c r="E59" i="72"/>
  <c r="B66" i="72"/>
  <c r="C66" i="72"/>
  <c r="D61" i="72"/>
  <c r="E61" i="72" s="1"/>
  <c r="E97" i="64"/>
  <c r="D81" i="66"/>
  <c r="C86" i="66"/>
  <c r="E97" i="65"/>
  <c r="D73" i="66"/>
  <c r="D74" i="66" s="1"/>
  <c r="E81" i="66" l="1"/>
  <c r="D86" i="66"/>
  <c r="E86" i="66" s="1"/>
  <c r="M72" i="72"/>
  <c r="L72" i="72"/>
  <c r="K72" i="72"/>
  <c r="J72" i="72"/>
  <c r="I72" i="72"/>
  <c r="H72" i="72"/>
  <c r="K71" i="72"/>
  <c r="J71" i="72"/>
  <c r="I71" i="72"/>
  <c r="M71" i="72"/>
  <c r="H71" i="72"/>
  <c r="L71" i="72"/>
  <c r="G71" i="72"/>
  <c r="B71" i="72"/>
  <c r="F71" i="72"/>
  <c r="E71" i="72"/>
  <c r="D71" i="72"/>
  <c r="C71" i="72"/>
  <c r="C72" i="72"/>
  <c r="D72" i="72"/>
  <c r="B72" i="72"/>
  <c r="E72" i="72"/>
  <c r="F72" i="72"/>
  <c r="G72" i="72"/>
  <c r="E73" i="66"/>
  <c r="L73" i="72" l="1"/>
  <c r="K73" i="72"/>
  <c r="J73" i="72"/>
  <c r="B73" i="72"/>
  <c r="M73" i="72"/>
  <c r="E73" i="72"/>
  <c r="C73" i="72"/>
  <c r="I73" i="72"/>
  <c r="F73" i="72"/>
  <c r="G73" i="72"/>
  <c r="D73" i="72"/>
  <c r="H73" i="72"/>
</calcChain>
</file>

<file path=xl/sharedStrings.xml><?xml version="1.0" encoding="utf-8"?>
<sst xmlns="http://schemas.openxmlformats.org/spreadsheetml/2006/main" count="1208" uniqueCount="231">
  <si>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</si>
  <si>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</si>
  <si>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</si>
  <si>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</si>
  <si>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</si>
  <si>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</si>
  <si>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</si>
  <si>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</si>
  <si>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</si>
  <si>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Fuente: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</si>
  <si>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</si>
  <si>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</si>
  <si>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</si>
  <si>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</si>
  <si>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</si>
  <si>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</si>
  <si>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</si>
  <si>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</si>
  <si>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</si>
  <si>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</si>
  <si>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</si>
  <si>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</si>
  <si>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</si>
  <si>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</si>
  <si>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</si>
  <si>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</si>
  <si>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</si>
  <si>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</si>
  <si>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</si>
  <si>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Ingresos de generadores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</si>
  <si>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</si>
  <si>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</si>
  <si>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 xml:space="preserve">Retribución definitiva transporte 2008-2011 </t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</si>
  <si>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</si>
  <si>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</si>
  <si>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</si>
  <si>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</si>
  <si>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</si>
  <si>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</si>
  <si>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</si>
  <si>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</si>
  <si>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</si>
  <si>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</si>
  <si>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</si>
  <si>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</si>
  <si>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</si>
  <si>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</si>
  <si>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</si>
  <si>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</si>
  <si>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</si>
  <si>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</si>
  <si>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</si>
  <si>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</si>
  <si>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</si>
  <si>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</si>
  <si>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</si>
  <si>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</si>
  <si>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</si>
  <si>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</si>
  <si>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</si>
  <si>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</si>
  <si>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</si>
  <si>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</si>
  <si>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</si>
  <si>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</si>
  <si>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</si>
  <si>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</si>
  <si>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</si>
  <si>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</si>
  <si>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</si>
  <si>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</si>
  <si>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</si>
  <si>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</si>
  <si>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</si>
  <si>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</si>
  <si>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</si>
  <si>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</si>
  <si>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</si>
  <si>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</si>
  <si>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</si>
  <si>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</si>
  <si>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</si>
  <si>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</si>
  <si>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</si>
  <si>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</si>
  <si>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</si>
  <si>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</si>
  <si>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</si>
  <si>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</si>
  <si>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</si>
  <si>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</si>
  <si>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</si>
  <si>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</si>
  <si>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</si>
  <si>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</si>
  <si>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</si>
  <si>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</si>
  <si>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</si>
  <si>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</si>
  <si>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</si>
  <si>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</si>
  <si>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</si>
  <si>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</si>
  <si>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</si>
  <si>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</si>
  <si>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</si>
  <si>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</si>
  <si>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</si>
  <si>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</si>
  <si>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</si>
  <si>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</si>
  <si>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</si>
  <si>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</si>
  <si>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</si>
  <si>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</si>
  <si>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</si>
  <si>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</si>
  <si>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</si>
  <si>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</si>
  <si>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</si>
  <si>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</si>
  <si>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</si>
  <si>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</si>
  <si>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</si>
  <si>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</si>
  <si>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</si>
  <si>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</si>
  <si>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</si>
  <si>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</si>
  <si>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</si>
  <si>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</si>
  <si>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</si>
  <si>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1. Peajes de transporte y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</si>
  <si>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</si>
  <si>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</si>
  <si>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</si>
  <si>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</si>
  <si>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</si>
  <si>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</si>
  <si>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</si>
  <si>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</si>
  <si>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</si>
  <si>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</si>
  <si>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</si>
  <si>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</si>
  <si>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</si>
  <si>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</si>
  <si>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</si>
  <si>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</si>
  <si>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</si>
  <si>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</si>
  <si>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</si>
  <si>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</si>
  <si>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</si>
  <si>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</si>
  <si>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</si>
  <si>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</si>
  <si>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</si>
  <si>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</si>
  <si>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</si>
  <si>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</si>
  <si>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</si>
  <si>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</si>
  <si>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</si>
  <si>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</si>
  <si>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</si>
  <si>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</si>
  <si>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</si>
  <si>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</si>
  <si>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</si>
  <si>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</si>
  <si>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</si>
  <si>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</si>
  <si>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</si>
  <si>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</si>
  <si>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</si>
  <si>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</si>
  <si>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</si>
  <si>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</si>
  <si>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</si>
  <si>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</si>
  <si>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</si>
  <si>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</si>
  <si>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</si>
  <si>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</si>
  <si>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</si>
  <si>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</si>
  <si>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</si>
  <si>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</si>
  <si>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</si>
  <si>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</si>
  <si>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</si>
  <si>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</si>
  <si>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</si>
  <si>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</si>
  <si>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</si>
  <si>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</si>
  <si>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</si>
  <si>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</si>
  <si>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</si>
  <si>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</si>
  <si>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</si>
  <si>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</si>
  <si>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</si>
  <si>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</si>
  <si>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</si>
  <si>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</si>
  <si>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</si>
  <si>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</si>
  <si>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</si>
  <si>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</si>
  <si>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</si>
  <si>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</si>
  <si>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</si>
  <si>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</si>
  <si>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</si>
  <si>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</si>
  <si>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Curvas de carga de consumidores conectados en baja tensión con potencia contratada inferior a 15 kW. Sistema peninsular. Año 2019</t>
  </si>
  <si>
    <t>Fuente: Circular 3/2020</t>
  </si>
  <si>
    <t>Previsión CNMC 2021</t>
  </si>
  <si>
    <t>Fuente: Curvas de carga del sistema peninular, balances de energía, y calendario propuesta Circular para el ejercicio 2019</t>
  </si>
  <si>
    <t>IIa.- Balances de potencia. Circular 3/2020. Año 2019</t>
  </si>
  <si>
    <t>IIb.- Balances de energía. Circular 3/2020. Año 2019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</si>
  <si>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</si>
  <si>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</si>
  <si>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</si>
  <si>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>Retribución provisional 2021 (Retribución 2016)</t>
  </si>
  <si>
    <t>Fuente: Resolución por la que se establece provisionalmente la retribución del transporte para el ejercicio 2021 (Retribución 2016)</t>
  </si>
  <si>
    <t>Fuente: Resolución por la que se establece provisionalmente la retribución de la distribución para el ejercicio 2021 (Retribución 2016)</t>
  </si>
  <si>
    <t>Término de energía de los peajes de autoconsumidores por la energía autoconsumida en el caso instalaciones próximas (€/kWh) corregidas las discontinuidades</t>
  </si>
  <si>
    <t>Término de energía de los peajes de autoconsumidores por la energía autoconsumida en el caso instalaciones próximas (€/kWh)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</si>
</sst>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_ ;\-#,##0\ "/>
    <numFmt numFmtId="167" formatCode="0.0%"/>
    <numFmt numFmtId="168" formatCode="#,##0.000"/>
    <numFmt numFmtId="169" formatCode="_-\ #,##0\ _€_-;\-\ #,##0\ _€_-;_-\ &quot;-&quot;??\ _€_-;_-@_-"/>
    <numFmt numFmtId="170" formatCode="_-* #,##0\ _€_-;\-* #,##0\ _€_-;_-* &quot;-&quot;??\ _€_-;_-@_-"/>
    <numFmt numFmtId="171" formatCode="[$-C0A]mmm\-yy;@"/>
    <numFmt numFmtId="172" formatCode="_-* #,##0.0\ _P_t_a_-;\-* #,##0.0\ _P_t_a_-;_-* &quot;-&quot;\ _P_t_a_-;_-@_-"/>
    <numFmt numFmtId="173" formatCode="_-* #,##0.000\ _P_t_a_-;\-* #,##0.000\ _P_t_a_-;_-* &quot;-&quot;??\ _P_t_a_-;_-@_-"/>
    <numFmt numFmtId="174" formatCode="#,##0.00000"/>
    <numFmt numFmtId="175" formatCode="_-* #,##0.00000\ _P_t_a_-;\-* #,##0.00000\ _P_t_a_-;_-* &quot;-&quot;??\ _P_t_a_-;_-@_-"/>
    <numFmt numFmtId="176" formatCode="_-* #,##0.0000\ _€_-;\-* #,##0.0000\ _€_-;_-* &quot;-&quot;??\ _€_-;_-@_-"/>
    <numFmt numFmtId="177" formatCode="_-* #,##0\ _€_-;\-* #,##0\ _€_-;_-* &quot;-&quot;????\ _€_-;_-@_-"/>
    <numFmt numFmtId="178" formatCode="_-* #,##0.0\ _P_t_a_-;\-* #,##0.0\ _P_t_a_-;_-* &quot;-&quot;??\ _P_t_a_-;_-@_-"/>
    <numFmt numFmtId="179" formatCode="_-* #,##0.000000\ _€_-;\-* #,##0.000000\ _€_-;_-* &quot;-&quot;??\ _€_-;_-@_-"/>
    <numFmt numFmtId="180" formatCode="_-* #,##0\ _P_t_a_-;\-* #,##0\ _P_t_a_-;_-* &quot;-&quot;??\ _P_t_a_-;_-@_-"/>
    <numFmt numFmtId="181" formatCode="_-* #,##0.0000\ _€_-;\-* #,##0.0000\ _€_-;_-* &quot;-&quot;????\ _€_-;_-@_-"/>
    <numFmt numFmtId="182" formatCode="_-* #,##0.000000\ _€_-;\-* #,##0.000000\ _€_-;_-* &quot;-&quot;??????\ _€_-;_-@_-"/>
    <numFmt numFmtId="183" formatCode="_-* #,##0.0\ _€_-;\-* #,##0.0\ _€_-;_-* &quot;-&quot;?\ _€_-;_-@_-"/>
    <numFmt numFmtId="184" formatCode="_-* #,##0.0000000\ _P_t_a_-;\-* #,##0.0000000\ _P_t_a_-;_-* &quot;-&quot;??\ _P_t_a_-;_-@_-"/>
    <numFmt numFmtId="185" formatCode="_-* #,##0.000\ _€_-;\-* #,##0.000\ _€_-;_-* &quot;-&quot;??\ _€_-;_-@_-"/>
    <numFmt numFmtId="186" formatCode="_-* #,##0.0000\ _P_t_a_-;\-* #,##0.0000\ _P_t_a_-;_-* &quot;-&quot;??\ _P_t_a_-;_-@_-"/>
    <numFmt numFmtId="187" formatCode="_-* #,##0.000000\ _P_t_a_-;\-* #,##0.000000\ _P_t_a_-;_-* &quot;-&quot;??\ _P_t_a_-;_-@_-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17">
    <xf numFmtId="0" fontId="0" fillId="0" borderId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5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12" fillId="0" borderId="0" applyFont="0" applyFill="0" applyBorder="0" applyAlignment="0" applyProtection="0"/>
    <xf numFmtId="3" fontId="29" fillId="17" borderId="0"/>
    <xf numFmtId="3" fontId="30" fillId="17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33" fillId="0" borderId="0" applyFont="0" applyFill="0" applyBorder="0" applyAlignment="0" applyProtection="0"/>
    <xf numFmtId="171" fontId="12" fillId="0" borderId="0"/>
    <xf numFmtId="43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1" fillId="20" borderId="0" applyNumberFormat="0" applyBorder="0" applyAlignment="0" applyProtection="0"/>
    <xf numFmtId="171" fontId="31" fillId="21" borderId="0" applyNumberFormat="0" applyBorder="0" applyAlignment="0" applyProtection="0"/>
    <xf numFmtId="171" fontId="31" fillId="22" borderId="0" applyNumberFormat="0" applyBorder="0" applyAlignment="0" applyProtection="0"/>
    <xf numFmtId="171" fontId="31" fillId="23" borderId="0" applyNumberFormat="0" applyBorder="0" applyAlignment="0" applyProtection="0"/>
    <xf numFmtId="171" fontId="31" fillId="24" borderId="0" applyNumberFormat="0" applyBorder="0" applyAlignment="0" applyProtection="0"/>
    <xf numFmtId="171" fontId="31" fillId="25" borderId="0" applyNumberFormat="0" applyBorder="0" applyAlignment="0" applyProtection="0"/>
    <xf numFmtId="171" fontId="31" fillId="26" borderId="0" applyNumberFormat="0" applyBorder="0" applyAlignment="0" applyProtection="0"/>
    <xf numFmtId="171" fontId="31" fillId="27" borderId="0" applyNumberFormat="0" applyBorder="0" applyAlignment="0" applyProtection="0"/>
    <xf numFmtId="171" fontId="31" fillId="28" borderId="0" applyNumberFormat="0" applyBorder="0" applyAlignment="0" applyProtection="0"/>
    <xf numFmtId="171" fontId="31" fillId="23" borderId="0" applyNumberFormat="0" applyBorder="0" applyAlignment="0" applyProtection="0"/>
    <xf numFmtId="171" fontId="31" fillId="26" borderId="0" applyNumberFormat="0" applyBorder="0" applyAlignment="0" applyProtection="0"/>
    <xf numFmtId="171" fontId="31" fillId="29" borderId="0" applyNumberFormat="0" applyBorder="0" applyAlignment="0" applyProtection="0"/>
    <xf numFmtId="171" fontId="34" fillId="30" borderId="0" applyNumberFormat="0" applyBorder="0" applyAlignment="0" applyProtection="0"/>
    <xf numFmtId="171" fontId="34" fillId="27" borderId="0" applyNumberFormat="0" applyBorder="0" applyAlignment="0" applyProtection="0"/>
    <xf numFmtId="171" fontId="34" fillId="28" borderId="0" applyNumberFormat="0" applyBorder="0" applyAlignment="0" applyProtection="0"/>
    <xf numFmtId="171" fontId="34" fillId="31" borderId="0" applyNumberFormat="0" applyBorder="0" applyAlignment="0" applyProtection="0"/>
    <xf numFmtId="171" fontId="34" fillId="32" borderId="0" applyNumberFormat="0" applyBorder="0" applyAlignment="0" applyProtection="0"/>
    <xf numFmtId="171" fontId="34" fillId="33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37" borderId="0" applyNumberFormat="0" applyBorder="0" applyAlignment="0" applyProtection="0"/>
    <xf numFmtId="171" fontId="31" fillId="38" borderId="0" applyNumberFormat="0" applyBorder="0" applyAlignment="0" applyProtection="0"/>
    <xf numFmtId="171" fontId="31" fillId="39" borderId="0" applyNumberFormat="0" applyBorder="0" applyAlignment="0" applyProtection="0"/>
    <xf numFmtId="171" fontId="34" fillId="40" borderId="0" applyNumberFormat="0" applyBorder="0" applyAlignment="0" applyProtection="0"/>
    <xf numFmtId="171" fontId="34" fillId="40" borderId="0" applyNumberFormat="0" applyBorder="0" applyAlignment="0" applyProtection="0"/>
    <xf numFmtId="171" fontId="31" fillId="38" borderId="0" applyNumberFormat="0" applyBorder="0" applyAlignment="0" applyProtection="0"/>
    <xf numFmtId="171" fontId="31" fillId="41" borderId="0" applyNumberFormat="0" applyBorder="0" applyAlignment="0" applyProtection="0"/>
    <xf numFmtId="171" fontId="34" fillId="39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9" borderId="0" applyNumberFormat="0" applyBorder="0" applyAlignment="0" applyProtection="0"/>
    <xf numFmtId="171" fontId="34" fillId="39" borderId="0" applyNumberFormat="0" applyBorder="0" applyAlignment="0" applyProtection="0"/>
    <xf numFmtId="171" fontId="34" fillId="42" borderId="0" applyNumberFormat="0" applyBorder="0" applyAlignment="0" applyProtection="0"/>
    <xf numFmtId="171" fontId="31" fillId="43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44" borderId="0" applyNumberFormat="0" applyBorder="0" applyAlignment="0" applyProtection="0"/>
    <xf numFmtId="171" fontId="31" fillId="38" borderId="0" applyNumberFormat="0" applyBorder="0" applyAlignment="0" applyProtection="0"/>
    <xf numFmtId="171" fontId="31" fillId="45" borderId="0" applyNumberFormat="0" applyBorder="0" applyAlignment="0" applyProtection="0"/>
    <xf numFmtId="171" fontId="34" fillId="45" borderId="0" applyNumberFormat="0" applyBorder="0" applyAlignment="0" applyProtection="0"/>
    <xf numFmtId="171" fontId="35" fillId="46" borderId="0" applyNumberFormat="0" applyBorder="0" applyAlignment="0" applyProtection="0"/>
    <xf numFmtId="171" fontId="36" fillId="47" borderId="74" applyNumberFormat="0" applyAlignment="0" applyProtection="0"/>
    <xf numFmtId="171" fontId="37" fillId="40" borderId="75" applyNumberFormat="0" applyAlignment="0" applyProtection="0"/>
    <xf numFmtId="171" fontId="38" fillId="48" borderId="0" applyNumberFormat="0" applyBorder="0" applyAlignment="0" applyProtection="0"/>
    <xf numFmtId="171" fontId="38" fillId="49" borderId="0" applyNumberFormat="0" applyBorder="0" applyAlignment="0" applyProtection="0"/>
    <xf numFmtId="171" fontId="38" fillId="50" borderId="0" applyNumberFormat="0" applyBorder="0" applyAlignment="0" applyProtection="0"/>
    <xf numFmtId="171" fontId="39" fillId="0" borderId="0" applyNumberFormat="0" applyFill="0" applyBorder="0" applyAlignment="0" applyProtection="0"/>
    <xf numFmtId="171" fontId="40" fillId="41" borderId="0" applyNumberFormat="0" applyBorder="0" applyAlignment="0" applyProtection="0"/>
    <xf numFmtId="171" fontId="41" fillId="0" borderId="76" applyNumberFormat="0" applyFill="0" applyAlignment="0" applyProtection="0"/>
    <xf numFmtId="171" fontId="42" fillId="0" borderId="77" applyNumberFormat="0" applyFill="0" applyAlignment="0" applyProtection="0"/>
    <xf numFmtId="171" fontId="43" fillId="0" borderId="78" applyNumberFormat="0" applyFill="0" applyAlignment="0" applyProtection="0"/>
    <xf numFmtId="171" fontId="43" fillId="0" borderId="0" applyNumberFormat="0" applyFill="0" applyBorder="0" applyAlignment="0" applyProtection="0"/>
    <xf numFmtId="171" fontId="44" fillId="45" borderId="74" applyNumberFormat="0" applyAlignment="0" applyProtection="0"/>
    <xf numFmtId="171" fontId="45" fillId="0" borderId="79" applyNumberFormat="0" applyFill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/>
    <xf numFmtId="171" fontId="12" fillId="38" borderId="73" applyNumberFormat="0" applyFont="0" applyAlignment="0" applyProtection="0"/>
    <xf numFmtId="171" fontId="46" fillId="47" borderId="80" applyNumberFormat="0" applyAlignment="0" applyProtection="0"/>
    <xf numFmtId="9" fontId="12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5" fillId="0" borderId="0"/>
  </cellStyleXfs>
  <cellXfs count="614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7" fontId="0" fillId="0" borderId="21" xfId="3" applyNumberFormat="1" applyFont="1" applyBorder="1" applyAlignment="1">
      <alignment vertical="center"/>
    </xf>
    <xf numFmtId="167" fontId="0" fillId="0" borderId="22" xfId="3" applyNumberFormat="1" applyFont="1" applyBorder="1" applyAlignment="1">
      <alignment vertical="center"/>
    </xf>
    <xf numFmtId="167" fontId="0" fillId="0" borderId="23" xfId="3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Continuous" vertical="center" wrapText="1"/>
    </xf>
    <xf numFmtId="0" fontId="15" fillId="3" borderId="6" xfId="0" applyFont="1" applyFill="1" applyBorder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3" fillId="19" borderId="35" xfId="0" applyFont="1" applyFill="1" applyBorder="1" applyAlignment="1">
      <alignment horizontal="center" vertical="center"/>
    </xf>
    <xf numFmtId="167" fontId="13" fillId="19" borderId="20" xfId="3" applyNumberFormat="1" applyFont="1" applyFill="1" applyBorder="1" applyAlignment="1">
      <alignment horizontal="center" vertical="center"/>
    </xf>
    <xf numFmtId="167" fontId="13" fillId="19" borderId="17" xfId="3" applyNumberFormat="1" applyFont="1" applyFill="1" applyBorder="1" applyAlignment="1">
      <alignment horizontal="center" vertical="center"/>
    </xf>
    <xf numFmtId="3" fontId="13" fillId="19" borderId="20" xfId="0" applyNumberFormat="1" applyFont="1" applyFill="1" applyBorder="1" applyAlignment="1">
      <alignment vertical="center"/>
    </xf>
    <xf numFmtId="3" fontId="13" fillId="19" borderId="17" xfId="0" applyNumberFormat="1" applyFont="1" applyFill="1" applyBorder="1" applyAlignment="1">
      <alignment vertical="center"/>
    </xf>
    <xf numFmtId="164" fontId="23" fillId="18" borderId="30" xfId="1" applyFont="1" applyFill="1" applyBorder="1" applyAlignment="1">
      <alignment vertical="center"/>
    </xf>
    <xf numFmtId="167" fontId="0" fillId="0" borderId="18" xfId="3" applyNumberFormat="1" applyFont="1" applyFill="1" applyBorder="1" applyAlignment="1">
      <alignment horizontal="center" vertical="center"/>
    </xf>
    <xf numFmtId="167" fontId="0" fillId="0" borderId="14" xfId="3" applyNumberFormat="1" applyFont="1" applyFill="1" applyBorder="1" applyAlignment="1">
      <alignment horizontal="center" vertical="center"/>
    </xf>
    <xf numFmtId="167" fontId="0" fillId="0" borderId="19" xfId="3" applyNumberFormat="1" applyFont="1" applyFill="1" applyBorder="1" applyAlignment="1">
      <alignment horizontal="center" vertical="center"/>
    </xf>
    <xf numFmtId="167" fontId="0" fillId="0" borderId="15" xfId="3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13" fillId="19" borderId="17" xfId="3" applyNumberFormat="1" applyFont="1" applyFill="1" applyBorder="1" applyAlignment="1">
      <alignment vertical="center"/>
    </xf>
    <xf numFmtId="172" fontId="0" fillId="0" borderId="0" xfId="1" applyNumberFormat="1" applyFont="1" applyAlignment="1">
      <alignment vertical="center"/>
    </xf>
    <xf numFmtId="165" fontId="0" fillId="0" borderId="0" xfId="8" applyFont="1"/>
    <xf numFmtId="169" fontId="27" fillId="0" borderId="0" xfId="0" applyNumberFormat="1" applyFont="1"/>
    <xf numFmtId="169" fontId="25" fillId="0" borderId="0" xfId="0" applyNumberFormat="1" applyFont="1" applyAlignment="1">
      <alignment vertical="center"/>
    </xf>
    <xf numFmtId="0" fontId="25" fillId="0" borderId="0" xfId="0" applyFont="1" applyFill="1"/>
    <xf numFmtId="0" fontId="17" fillId="0" borderId="0" xfId="0" applyFont="1" applyFill="1" applyAlignment="1">
      <alignment vertical="center"/>
    </xf>
    <xf numFmtId="167" fontId="13" fillId="0" borderId="0" xfId="0" applyNumberFormat="1" applyFont="1" applyAlignment="1">
      <alignment vertical="center"/>
    </xf>
    <xf numFmtId="3" fontId="13" fillId="0" borderId="43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166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9" borderId="53" xfId="0" applyFont="1" applyFill="1" applyBorder="1" applyAlignment="1">
      <alignment horizontal="center" vertical="center"/>
    </xf>
    <xf numFmtId="169" fontId="32" fillId="3" borderId="30" xfId="198" applyNumberFormat="1" applyFont="1" applyFill="1" applyBorder="1" applyAlignment="1">
      <alignment horizontal="center" vertical="center" wrapText="1"/>
    </xf>
    <xf numFmtId="169" fontId="26" fillId="3" borderId="86" xfId="198" applyNumberFormat="1" applyFont="1" applyFill="1" applyBorder="1" applyAlignment="1">
      <alignment vertical="center"/>
    </xf>
    <xf numFmtId="169" fontId="32" fillId="3" borderId="86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9" borderId="17" xfId="3" applyNumberFormat="1" applyFont="1" applyFill="1" applyBorder="1" applyAlignment="1">
      <alignment horizontal="right" vertical="center" indent="2"/>
    </xf>
    <xf numFmtId="0" fontId="13" fillId="19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68" fontId="5" fillId="0" borderId="21" xfId="0" applyNumberFormat="1" applyFont="1" applyBorder="1" applyAlignment="1">
      <alignment horizontal="center" vertical="center"/>
    </xf>
    <xf numFmtId="168" fontId="5" fillId="0" borderId="91" xfId="0" applyNumberFormat="1" applyFont="1" applyBorder="1" applyAlignment="1">
      <alignment horizontal="center" vertical="center"/>
    </xf>
    <xf numFmtId="168" fontId="5" fillId="0" borderId="98" xfId="0" applyNumberFormat="1" applyFont="1" applyBorder="1" applyAlignment="1">
      <alignment horizontal="center" vertical="center"/>
    </xf>
    <xf numFmtId="168" fontId="5" fillId="0" borderId="93" xfId="0" applyNumberFormat="1" applyFont="1" applyBorder="1" applyAlignment="1">
      <alignment horizontal="center" vertical="center"/>
    </xf>
    <xf numFmtId="173" fontId="0" fillId="0" borderId="0" xfId="8" applyNumberFormat="1" applyFont="1"/>
    <xf numFmtId="168" fontId="5" fillId="0" borderId="21" xfId="0" applyNumberFormat="1" applyFont="1" applyFill="1" applyBorder="1" applyAlignment="1">
      <alignment horizontal="center" vertical="center"/>
    </xf>
    <xf numFmtId="168" fontId="5" fillId="0" borderId="91" xfId="0" applyNumberFormat="1" applyFont="1" applyFill="1" applyBorder="1" applyAlignment="1">
      <alignment horizontal="center" vertical="center"/>
    </xf>
    <xf numFmtId="168" fontId="5" fillId="0" borderId="98" xfId="0" applyNumberFormat="1" applyFont="1" applyFill="1" applyBorder="1" applyAlignment="1">
      <alignment horizontal="center" vertical="center"/>
    </xf>
    <xf numFmtId="168" fontId="5" fillId="0" borderId="93" xfId="0" applyNumberFormat="1" applyFont="1" applyFill="1" applyBorder="1" applyAlignment="1">
      <alignment horizontal="center" vertical="center"/>
    </xf>
    <xf numFmtId="174" fontId="0" fillId="0" borderId="0" xfId="0" applyNumberFormat="1"/>
    <xf numFmtId="168" fontId="5" fillId="0" borderId="13" xfId="0" applyNumberFormat="1" applyFont="1" applyFill="1" applyBorder="1" applyAlignment="1">
      <alignment horizontal="center" vertical="center"/>
    </xf>
    <xf numFmtId="168" fontId="5" fillId="0" borderId="92" xfId="0" applyNumberFormat="1" applyFont="1" applyFill="1" applyBorder="1" applyAlignment="1">
      <alignment horizontal="center" vertical="center"/>
    </xf>
    <xf numFmtId="168" fontId="5" fillId="0" borderId="70" xfId="0" applyNumberFormat="1" applyFont="1" applyFill="1" applyBorder="1" applyAlignment="1">
      <alignment horizontal="center" vertical="center"/>
    </xf>
    <xf numFmtId="168" fontId="5" fillId="0" borderId="83" xfId="0" applyNumberFormat="1" applyFont="1" applyFill="1" applyBorder="1" applyAlignment="1">
      <alignment horizontal="center" vertical="center"/>
    </xf>
    <xf numFmtId="175" fontId="0" fillId="0" borderId="0" xfId="8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70" fontId="23" fillId="0" borderId="82" xfId="8" applyNumberFormat="1" applyFont="1" applyBorder="1" applyAlignment="1">
      <alignment vertical="center"/>
    </xf>
    <xf numFmtId="170" fontId="23" fillId="0" borderId="104" xfId="8" applyNumberFormat="1" applyFont="1" applyBorder="1" applyAlignment="1">
      <alignment vertical="center"/>
    </xf>
    <xf numFmtId="170" fontId="23" fillId="0" borderId="32" xfId="8" applyNumberFormat="1" applyFont="1" applyBorder="1" applyAlignment="1">
      <alignment vertical="center"/>
    </xf>
    <xf numFmtId="170" fontId="23" fillId="0" borderId="37" xfId="8" applyNumberFormat="1" applyFont="1" applyBorder="1" applyAlignment="1">
      <alignment vertical="center"/>
    </xf>
    <xf numFmtId="167" fontId="23" fillId="0" borderId="105" xfId="0" applyNumberFormat="1" applyFont="1" applyBorder="1" applyAlignment="1">
      <alignment horizontal="center" vertical="center"/>
    </xf>
    <xf numFmtId="10" fontId="23" fillId="0" borderId="106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0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1" xfId="0" applyFont="1" applyFill="1" applyBorder="1" applyAlignment="1">
      <alignment horizontal="center" vertical="center" wrapText="1"/>
    </xf>
    <xf numFmtId="0" fontId="22" fillId="53" borderId="102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7" fontId="23" fillId="0" borderId="81" xfId="3" applyNumberFormat="1" applyFont="1" applyBorder="1" applyAlignment="1">
      <alignment horizontal="right" vertical="center" indent="1"/>
    </xf>
    <xf numFmtId="170" fontId="23" fillId="0" borderId="27" xfId="8" applyNumberFormat="1" applyFont="1" applyBorder="1" applyAlignment="1">
      <alignment vertical="center"/>
    </xf>
    <xf numFmtId="170" fontId="23" fillId="0" borderId="38" xfId="8" applyNumberFormat="1" applyFont="1" applyBorder="1" applyAlignment="1">
      <alignment vertical="center"/>
    </xf>
    <xf numFmtId="170" fontId="23" fillId="0" borderId="29" xfId="8" applyNumberFormat="1" applyFont="1" applyBorder="1" applyAlignment="1">
      <alignment vertical="center"/>
    </xf>
    <xf numFmtId="170" fontId="23" fillId="0" borderId="105" xfId="8" applyNumberFormat="1" applyFont="1" applyBorder="1" applyAlignment="1">
      <alignment vertical="center"/>
    </xf>
    <xf numFmtId="170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7" fontId="4" fillId="0" borderId="18" xfId="3" applyNumberFormat="1" applyFont="1" applyFill="1" applyBorder="1" applyAlignment="1">
      <alignment vertical="center"/>
    </xf>
    <xf numFmtId="167" fontId="4" fillId="0" borderId="14" xfId="3" applyNumberFormat="1" applyFont="1" applyFill="1" applyBorder="1" applyAlignment="1">
      <alignment vertical="center"/>
    </xf>
    <xf numFmtId="170" fontId="4" fillId="0" borderId="33" xfId="8" applyNumberFormat="1" applyFont="1" applyFill="1" applyBorder="1" applyAlignment="1">
      <alignment horizontal="center" vertical="center"/>
    </xf>
    <xf numFmtId="170" fontId="4" fillId="0" borderId="18" xfId="8" applyNumberFormat="1" applyFont="1" applyFill="1" applyBorder="1" applyAlignment="1">
      <alignment horizontal="center" vertical="center"/>
    </xf>
    <xf numFmtId="170" fontId="4" fillId="0" borderId="14" xfId="8" applyNumberFormat="1" applyFont="1" applyFill="1" applyBorder="1" applyAlignment="1">
      <alignment horizontal="center" vertical="center"/>
    </xf>
    <xf numFmtId="167" fontId="4" fillId="0" borderId="19" xfId="3" applyNumberFormat="1" applyFont="1" applyFill="1" applyBorder="1" applyAlignment="1">
      <alignment vertical="center"/>
    </xf>
    <xf numFmtId="167" fontId="4" fillId="0" borderId="15" xfId="3" applyNumberFormat="1" applyFont="1" applyFill="1" applyBorder="1" applyAlignment="1">
      <alignment vertical="center"/>
    </xf>
    <xf numFmtId="170" fontId="4" fillId="0" borderId="34" xfId="8" applyNumberFormat="1" applyFont="1" applyFill="1" applyBorder="1" applyAlignment="1">
      <alignment horizontal="center" vertical="center"/>
    </xf>
    <xf numFmtId="170" fontId="4" fillId="0" borderId="19" xfId="8" applyNumberFormat="1" applyFont="1" applyFill="1" applyBorder="1" applyAlignment="1">
      <alignment horizontal="center" vertical="center"/>
    </xf>
    <xf numFmtId="170" fontId="4" fillId="0" borderId="15" xfId="8" applyNumberFormat="1" applyFont="1" applyFill="1" applyBorder="1" applyAlignment="1">
      <alignment horizontal="center" vertical="center"/>
    </xf>
    <xf numFmtId="167" fontId="4" fillId="0" borderId="0" xfId="3" applyNumberFormat="1" applyFont="1"/>
    <xf numFmtId="170" fontId="4" fillId="0" borderId="0" xfId="8" applyNumberFormat="1" applyFont="1" applyAlignment="1">
      <alignment horizontal="center"/>
    </xf>
    <xf numFmtId="167" fontId="13" fillId="19" borderId="20" xfId="3" applyNumberFormat="1" applyFont="1" applyFill="1" applyBorder="1" applyAlignment="1">
      <alignment vertical="center"/>
    </xf>
    <xf numFmtId="170" fontId="13" fillId="19" borderId="35" xfId="8" applyNumberFormat="1" applyFont="1" applyFill="1" applyBorder="1" applyAlignment="1">
      <alignment horizontal="center" vertical="center"/>
    </xf>
    <xf numFmtId="170" fontId="13" fillId="19" borderId="20" xfId="8" applyNumberFormat="1" applyFont="1" applyFill="1" applyBorder="1" applyAlignment="1">
      <alignment horizontal="center" vertical="center"/>
    </xf>
    <xf numFmtId="170" fontId="13" fillId="19" borderId="17" xfId="8" applyNumberFormat="1" applyFont="1" applyFill="1" applyBorder="1" applyAlignment="1">
      <alignment horizontal="center" vertical="center"/>
    </xf>
    <xf numFmtId="0" fontId="22" fillId="52" borderId="68" xfId="0" applyFont="1" applyFill="1" applyBorder="1" applyAlignment="1">
      <alignment horizontal="center" vertical="center" wrapText="1"/>
    </xf>
    <xf numFmtId="0" fontId="22" fillId="53" borderId="107" xfId="0" applyFont="1" applyFill="1" applyBorder="1" applyAlignment="1">
      <alignment horizontal="center" vertical="center" wrapText="1"/>
    </xf>
    <xf numFmtId="0" fontId="22" fillId="53" borderId="90" xfId="0" applyFont="1" applyFill="1" applyBorder="1" applyAlignment="1">
      <alignment horizontal="center" vertical="center" wrapText="1"/>
    </xf>
    <xf numFmtId="0" fontId="22" fillId="53" borderId="10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170" fontId="4" fillId="0" borderId="81" xfId="0" applyNumberFormat="1" applyFont="1" applyBorder="1" applyAlignment="1">
      <alignment vertical="center"/>
    </xf>
    <xf numFmtId="167" fontId="4" fillId="0" borderId="11" xfId="3" applyNumberFormat="1" applyFont="1" applyFill="1" applyBorder="1" applyAlignment="1">
      <alignment vertical="center"/>
    </xf>
    <xf numFmtId="167" fontId="4" fillId="0" borderId="12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32" fillId="51" borderId="112" xfId="0" applyFont="1" applyFill="1" applyBorder="1" applyAlignment="1">
      <alignment horizontal="centerContinuous" vertical="center" wrapText="1"/>
    </xf>
    <xf numFmtId="0" fontId="32" fillId="51" borderId="113" xfId="0" applyFont="1" applyFill="1" applyBorder="1" applyAlignment="1">
      <alignment horizontal="centerContinuous" vertical="center" wrapText="1"/>
    </xf>
    <xf numFmtId="167" fontId="13" fillId="19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0" fontId="22" fillId="51" borderId="66" xfId="8" applyNumberFormat="1" applyFont="1" applyFill="1" applyBorder="1" applyAlignment="1">
      <alignment horizontal="center" vertical="center"/>
    </xf>
    <xf numFmtId="170" fontId="22" fillId="51" borderId="96" xfId="8" applyNumberFormat="1" applyFont="1" applyFill="1" applyBorder="1" applyAlignment="1">
      <alignment horizontal="center" vertical="center"/>
    </xf>
    <xf numFmtId="170" fontId="22" fillId="51" borderId="99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horizontal="center" vertical="center"/>
    </xf>
    <xf numFmtId="170" fontId="4" fillId="0" borderId="21" xfId="8" applyNumberFormat="1" applyFont="1" applyBorder="1" applyAlignment="1">
      <alignment horizontal="center" vertical="center"/>
    </xf>
    <xf numFmtId="170" fontId="4" fillId="0" borderId="13" xfId="8" applyNumberFormat="1" applyFont="1" applyBorder="1" applyAlignment="1">
      <alignment horizontal="center" vertical="center"/>
    </xf>
    <xf numFmtId="170" fontId="4" fillId="0" borderId="58" xfId="8" applyNumberFormat="1" applyFont="1" applyBorder="1" applyAlignment="1">
      <alignment horizontal="center" vertical="center"/>
    </xf>
    <xf numFmtId="170" fontId="4" fillId="0" borderId="91" xfId="8" applyNumberFormat="1" applyFont="1" applyBorder="1" applyAlignment="1">
      <alignment horizontal="center" vertical="center"/>
    </xf>
    <xf numFmtId="170" fontId="4" fillId="0" borderId="92" xfId="8" applyNumberFormat="1" applyFont="1" applyBorder="1" applyAlignment="1">
      <alignment horizontal="center" vertical="center"/>
    </xf>
    <xf numFmtId="170" fontId="4" fillId="0" borderId="69" xfId="8" applyNumberFormat="1" applyFont="1" applyBorder="1" applyAlignment="1">
      <alignment horizontal="center" vertical="center"/>
    </xf>
    <xf numFmtId="170" fontId="4" fillId="0" borderId="98" xfId="8" applyNumberFormat="1" applyFont="1" applyBorder="1" applyAlignment="1">
      <alignment horizontal="center" vertical="center"/>
    </xf>
    <xf numFmtId="170" fontId="4" fillId="0" borderId="70" xfId="8" applyNumberFormat="1" applyFont="1" applyBorder="1" applyAlignment="1">
      <alignment horizontal="center" vertical="center"/>
    </xf>
    <xf numFmtId="170" fontId="4" fillId="0" borderId="59" xfId="8" applyNumberFormat="1" applyFont="1" applyBorder="1" applyAlignment="1">
      <alignment horizontal="center" vertical="center"/>
    </xf>
    <xf numFmtId="170" fontId="4" fillId="0" borderId="93" xfId="8" applyNumberFormat="1" applyFont="1" applyBorder="1" applyAlignment="1">
      <alignment horizontal="center" vertical="center"/>
    </xf>
    <xf numFmtId="170" fontId="4" fillId="0" borderId="83" xfId="8" applyNumberFormat="1" applyFont="1" applyBorder="1" applyAlignment="1">
      <alignment horizontal="center" vertical="center"/>
    </xf>
    <xf numFmtId="170" fontId="22" fillId="51" borderId="54" xfId="8" applyNumberFormat="1" applyFont="1" applyFill="1" applyBorder="1" applyAlignment="1">
      <alignment horizontal="centerContinuous" vertical="center" wrapText="1"/>
    </xf>
    <xf numFmtId="170" fontId="22" fillId="51" borderId="55" xfId="8" applyNumberFormat="1" applyFont="1" applyFill="1" applyBorder="1" applyAlignment="1">
      <alignment horizontal="centerContinuous" vertical="center" wrapText="1"/>
    </xf>
    <xf numFmtId="170" fontId="22" fillId="51" borderId="115" xfId="8" applyNumberFormat="1" applyFont="1" applyFill="1" applyBorder="1" applyAlignment="1">
      <alignment horizontal="center" vertical="center"/>
    </xf>
    <xf numFmtId="170" fontId="22" fillId="51" borderId="116" xfId="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0" fontId="4" fillId="0" borderId="21" xfId="8" applyNumberFormat="1" applyFont="1" applyBorder="1" applyAlignment="1">
      <alignment vertical="center"/>
    </xf>
    <xf numFmtId="170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0" fontId="4" fillId="0" borderId="22" xfId="8" applyNumberFormat="1" applyFont="1" applyBorder="1" applyAlignment="1">
      <alignment vertical="center"/>
    </xf>
    <xf numFmtId="170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0" fontId="4" fillId="0" borderId="23" xfId="8" applyNumberFormat="1" applyFont="1" applyBorder="1" applyAlignment="1">
      <alignment vertical="center"/>
    </xf>
    <xf numFmtId="170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0" fontId="22" fillId="51" borderId="56" xfId="8" applyNumberFormat="1" applyFont="1" applyFill="1" applyBorder="1" applyAlignment="1">
      <alignment horizontal="centerContinuous" vertical="center" wrapText="1"/>
    </xf>
    <xf numFmtId="170" fontId="22" fillId="51" borderId="114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vertical="center"/>
    </xf>
    <xf numFmtId="170" fontId="4" fillId="0" borderId="2" xfId="8" applyNumberFormat="1" applyFont="1" applyBorder="1" applyAlignment="1">
      <alignment vertical="center"/>
    </xf>
    <xf numFmtId="170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67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9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177" fontId="0" fillId="0" borderId="0" xfId="0" applyNumberFormat="1"/>
    <xf numFmtId="178" fontId="0" fillId="0" borderId="21" xfId="8" applyNumberFormat="1" applyFont="1" applyBorder="1"/>
    <xf numFmtId="178" fontId="0" fillId="0" borderId="22" xfId="8" applyNumberFormat="1" applyFont="1" applyBorder="1"/>
    <xf numFmtId="178" fontId="0" fillId="0" borderId="1" xfId="8" applyNumberFormat="1" applyFont="1" applyBorder="1"/>
    <xf numFmtId="178" fontId="0" fillId="0" borderId="13" xfId="8" applyNumberFormat="1" applyFont="1" applyBorder="1"/>
    <xf numFmtId="178" fontId="0" fillId="0" borderId="2" xfId="8" applyNumberFormat="1" applyFont="1" applyBorder="1"/>
    <xf numFmtId="178" fontId="0" fillId="0" borderId="14" xfId="8" applyNumberFormat="1" applyFont="1" applyBorder="1"/>
    <xf numFmtId="178" fontId="0" fillId="0" borderId="3" xfId="8" applyNumberFormat="1" applyFont="1" applyBorder="1"/>
    <xf numFmtId="178" fontId="0" fillId="0" borderId="23" xfId="8" applyNumberFormat="1" applyFont="1" applyBorder="1"/>
    <xf numFmtId="178" fontId="0" fillId="0" borderId="15" xfId="8" applyNumberFormat="1" applyFont="1" applyBorder="1"/>
    <xf numFmtId="176" fontId="4" fillId="0" borderId="21" xfId="8" applyNumberFormat="1" applyFont="1" applyBorder="1" applyAlignment="1">
      <alignment vertical="center"/>
    </xf>
    <xf numFmtId="176" fontId="4" fillId="0" borderId="13" xfId="8" applyNumberFormat="1" applyFont="1" applyBorder="1" applyAlignment="1">
      <alignment vertical="center"/>
    </xf>
    <xf numFmtId="176" fontId="4" fillId="0" borderId="22" xfId="8" applyNumberFormat="1" applyFont="1" applyBorder="1" applyAlignment="1">
      <alignment vertical="center"/>
    </xf>
    <xf numFmtId="176" fontId="4" fillId="0" borderId="14" xfId="8" applyNumberFormat="1" applyFont="1" applyBorder="1" applyAlignment="1">
      <alignment vertical="center"/>
    </xf>
    <xf numFmtId="176" fontId="4" fillId="0" borderId="23" xfId="8" applyNumberFormat="1" applyFont="1" applyBorder="1" applyAlignment="1">
      <alignment vertical="center"/>
    </xf>
    <xf numFmtId="176" fontId="4" fillId="0" borderId="15" xfId="8" applyNumberFormat="1" applyFont="1" applyBorder="1" applyAlignment="1">
      <alignment vertical="center"/>
    </xf>
    <xf numFmtId="179" fontId="4" fillId="0" borderId="1" xfId="8" applyNumberFormat="1" applyFont="1" applyBorder="1" applyAlignment="1">
      <alignment vertical="center"/>
    </xf>
    <xf numFmtId="179" fontId="4" fillId="0" borderId="21" xfId="8" applyNumberFormat="1" applyFont="1" applyBorder="1" applyAlignment="1">
      <alignment vertical="center"/>
    </xf>
    <xf numFmtId="179" fontId="4" fillId="0" borderId="13" xfId="8" applyNumberFormat="1" applyFont="1" applyBorder="1" applyAlignment="1">
      <alignment vertical="center"/>
    </xf>
    <xf numFmtId="179" fontId="4" fillId="0" borderId="2" xfId="8" applyNumberFormat="1" applyFont="1" applyBorder="1" applyAlignment="1">
      <alignment vertical="center"/>
    </xf>
    <xf numFmtId="179" fontId="4" fillId="0" borderId="22" xfId="8" applyNumberFormat="1" applyFont="1" applyBorder="1" applyAlignment="1">
      <alignment vertical="center"/>
    </xf>
    <xf numFmtId="179" fontId="4" fillId="0" borderId="14" xfId="8" applyNumberFormat="1" applyFont="1" applyBorder="1" applyAlignment="1">
      <alignment vertical="center"/>
    </xf>
    <xf numFmtId="179" fontId="4" fillId="0" borderId="3" xfId="8" applyNumberFormat="1" applyFont="1" applyBorder="1" applyAlignment="1">
      <alignment vertical="center"/>
    </xf>
    <xf numFmtId="179" fontId="4" fillId="0" borderId="23" xfId="8" applyNumberFormat="1" applyFont="1" applyBorder="1" applyAlignment="1">
      <alignment vertical="center"/>
    </xf>
    <xf numFmtId="179" fontId="4" fillId="0" borderId="15" xfId="8" applyNumberFormat="1" applyFont="1" applyBorder="1" applyAlignment="1">
      <alignment vertical="center"/>
    </xf>
    <xf numFmtId="170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176" fontId="4" fillId="0" borderId="121" xfId="8" applyNumberFormat="1" applyFont="1" applyBorder="1" applyAlignment="1">
      <alignment vertical="center"/>
    </xf>
    <xf numFmtId="176" fontId="4" fillId="0" borderId="122" xfId="8" applyNumberFormat="1" applyFont="1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176" fontId="4" fillId="0" borderId="124" xfId="8" applyNumberFormat="1" applyFont="1" applyBorder="1" applyAlignment="1">
      <alignment vertical="center"/>
    </xf>
    <xf numFmtId="176" fontId="4" fillId="0" borderId="125" xfId="8" applyNumberFormat="1" applyFont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176" fontId="4" fillId="0" borderId="127" xfId="8" applyNumberFormat="1" applyFont="1" applyBorder="1" applyAlignment="1">
      <alignment vertical="center"/>
    </xf>
    <xf numFmtId="176" fontId="4" fillId="0" borderId="128" xfId="8" applyNumberFormat="1" applyFont="1" applyBorder="1" applyAlignment="1">
      <alignment vertical="center"/>
    </xf>
    <xf numFmtId="179" fontId="0" fillId="0" borderId="98" xfId="0" applyNumberFormat="1" applyBorder="1"/>
    <xf numFmtId="179" fontId="0" fillId="0" borderId="22" xfId="0" applyNumberFormat="1" applyBorder="1"/>
    <xf numFmtId="179" fontId="0" fillId="0" borderId="70" xfId="0" applyNumberFormat="1" applyBorder="1"/>
    <xf numFmtId="179" fontId="0" fillId="0" borderId="2" xfId="0" applyNumberFormat="1" applyBorder="1"/>
    <xf numFmtId="179" fontId="0" fillId="0" borderId="14" xfId="0" applyNumberFormat="1" applyBorder="1"/>
    <xf numFmtId="179" fontId="0" fillId="0" borderId="3" xfId="0" applyNumberFormat="1" applyBorder="1"/>
    <xf numFmtId="179" fontId="0" fillId="0" borderId="23" xfId="0" applyNumberFormat="1" applyBorder="1"/>
    <xf numFmtId="180" fontId="0" fillId="0" borderId="0" xfId="0" applyNumberFormat="1"/>
    <xf numFmtId="170" fontId="22" fillId="51" borderId="115" xfId="8" applyNumberFormat="1" applyFont="1" applyFill="1" applyBorder="1" applyAlignment="1">
      <alignment horizontal="center" vertical="center" wrapText="1"/>
    </xf>
    <xf numFmtId="180" fontId="0" fillId="0" borderId="121" xfId="8" applyNumberFormat="1" applyFont="1" applyBorder="1"/>
    <xf numFmtId="180" fontId="0" fillId="0" borderId="121" xfId="0" applyNumberFormat="1" applyBorder="1"/>
    <xf numFmtId="180" fontId="0" fillId="0" borderId="124" xfId="8" applyNumberFormat="1" applyFont="1" applyBorder="1"/>
    <xf numFmtId="180" fontId="0" fillId="0" borderId="124" xfId="0" applyNumberFormat="1" applyBorder="1"/>
    <xf numFmtId="167" fontId="0" fillId="0" borderId="122" xfId="3" applyNumberFormat="1" applyFont="1" applyBorder="1" applyAlignment="1">
      <alignment horizontal="right" indent="1"/>
    </xf>
    <xf numFmtId="167" fontId="0" fillId="0" borderId="125" xfId="3" applyNumberFormat="1" applyFont="1" applyBorder="1" applyAlignment="1">
      <alignment horizontal="right" indent="1"/>
    </xf>
    <xf numFmtId="180" fontId="0" fillId="0" borderId="127" xfId="8" applyNumberFormat="1" applyFont="1" applyBorder="1"/>
    <xf numFmtId="180" fontId="0" fillId="0" borderId="127" xfId="0" applyNumberFormat="1" applyBorder="1"/>
    <xf numFmtId="167" fontId="0" fillId="0" borderId="128" xfId="3" applyNumberFormat="1" applyFont="1" applyBorder="1" applyAlignment="1">
      <alignment horizontal="right" indent="1"/>
    </xf>
    <xf numFmtId="170" fontId="4" fillId="19" borderId="23" xfId="8" applyNumberFormat="1" applyFont="1" applyFill="1" applyBorder="1" applyAlignment="1">
      <alignment vertical="center"/>
    </xf>
    <xf numFmtId="170" fontId="4" fillId="19" borderId="15" xfId="8" applyNumberFormat="1" applyFont="1" applyFill="1" applyBorder="1" applyAlignment="1">
      <alignment vertical="center"/>
    </xf>
    <xf numFmtId="0" fontId="4" fillId="19" borderId="3" xfId="0" applyFont="1" applyFill="1" applyBorder="1" applyAlignment="1">
      <alignment horizontal="center" vertical="center"/>
    </xf>
    <xf numFmtId="170" fontId="4" fillId="19" borderId="3" xfId="8" applyNumberFormat="1" applyFont="1" applyFill="1" applyBorder="1" applyAlignment="1">
      <alignment vertical="center"/>
    </xf>
    <xf numFmtId="179" fontId="4" fillId="19" borderId="3" xfId="8" applyNumberFormat="1" applyFont="1" applyFill="1" applyBorder="1" applyAlignment="1">
      <alignment vertical="center"/>
    </xf>
    <xf numFmtId="179" fontId="4" fillId="19" borderId="23" xfId="8" applyNumberFormat="1" applyFont="1" applyFill="1" applyBorder="1" applyAlignment="1">
      <alignment vertical="center"/>
    </xf>
    <xf numFmtId="179" fontId="4" fillId="19" borderId="15" xfId="8" applyNumberFormat="1" applyFont="1" applyFill="1" applyBorder="1" applyAlignment="1">
      <alignment vertical="center"/>
    </xf>
    <xf numFmtId="176" fontId="4" fillId="19" borderId="23" xfId="8" applyNumberFormat="1" applyFont="1" applyFill="1" applyBorder="1" applyAlignment="1">
      <alignment vertical="center"/>
    </xf>
    <xf numFmtId="176" fontId="4" fillId="19" borderId="15" xfId="8" applyNumberFormat="1" applyFont="1" applyFill="1" applyBorder="1" applyAlignment="1">
      <alignment vertical="center"/>
    </xf>
    <xf numFmtId="0" fontId="3" fillId="19" borderId="126" xfId="0" applyFont="1" applyFill="1" applyBorder="1" applyAlignment="1">
      <alignment horizontal="center" vertical="center"/>
    </xf>
    <xf numFmtId="176" fontId="4" fillId="19" borderId="127" xfId="8" applyNumberFormat="1" applyFont="1" applyFill="1" applyBorder="1" applyAlignment="1">
      <alignment vertical="center"/>
    </xf>
    <xf numFmtId="176" fontId="4" fillId="19" borderId="128" xfId="8" applyNumberFormat="1" applyFont="1" applyFill="1" applyBorder="1" applyAlignment="1">
      <alignment vertical="center"/>
    </xf>
    <xf numFmtId="179" fontId="0" fillId="19" borderId="3" xfId="0" applyNumberFormat="1" applyFill="1" applyBorder="1"/>
    <xf numFmtId="179" fontId="0" fillId="19" borderId="23" xfId="0" applyNumberFormat="1" applyFill="1" applyBorder="1"/>
    <xf numFmtId="179" fontId="0" fillId="19" borderId="15" xfId="0" applyNumberFormat="1" applyFill="1" applyBorder="1"/>
    <xf numFmtId="178" fontId="0" fillId="19" borderId="23" xfId="8" applyNumberFormat="1" applyFont="1" applyFill="1" applyBorder="1"/>
    <xf numFmtId="178" fontId="0" fillId="19" borderId="15" xfId="8" applyNumberFormat="1" applyFont="1" applyFill="1" applyBorder="1"/>
    <xf numFmtId="178" fontId="0" fillId="19" borderId="3" xfId="8" applyNumberFormat="1" applyFont="1" applyFill="1" applyBorder="1"/>
    <xf numFmtId="180" fontId="0" fillId="19" borderId="127" xfId="8" applyNumberFormat="1" applyFont="1" applyFill="1" applyBorder="1"/>
    <xf numFmtId="180" fontId="0" fillId="19" borderId="127" xfId="0" applyNumberFormat="1" applyFill="1" applyBorder="1"/>
    <xf numFmtId="167" fontId="0" fillId="19" borderId="128" xfId="3" applyNumberFormat="1" applyFont="1" applyFill="1" applyBorder="1" applyAlignment="1">
      <alignment horizontal="right" indent="1"/>
    </xf>
    <xf numFmtId="0" fontId="13" fillId="0" borderId="0" xfId="0" applyFont="1" applyBorder="1" applyAlignment="1">
      <alignment horizontal="left" vertical="center" indent="1"/>
    </xf>
    <xf numFmtId="180" fontId="13" fillId="0" borderId="0" xfId="8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67" fontId="13" fillId="0" borderId="0" xfId="3" applyNumberFormat="1" applyFont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70" fontId="4" fillId="0" borderId="23" xfId="8" applyNumberFormat="1" applyFont="1" applyFill="1" applyBorder="1" applyAlignment="1">
      <alignment vertical="center"/>
    </xf>
    <xf numFmtId="170" fontId="4" fillId="0" borderId="15" xfId="8" applyNumberFormat="1" applyFont="1" applyFill="1" applyBorder="1" applyAlignment="1">
      <alignment vertical="center"/>
    </xf>
    <xf numFmtId="0" fontId="0" fillId="0" borderId="0" xfId="0" applyFill="1"/>
    <xf numFmtId="179" fontId="4" fillId="0" borderId="23" xfId="8" applyNumberFormat="1" applyFont="1" applyFill="1" applyBorder="1" applyAlignment="1">
      <alignment vertical="center"/>
    </xf>
    <xf numFmtId="179" fontId="4" fillId="0" borderId="15" xfId="8" applyNumberFormat="1" applyFont="1" applyFill="1" applyBorder="1" applyAlignment="1">
      <alignment vertical="center"/>
    </xf>
    <xf numFmtId="170" fontId="4" fillId="0" borderId="52" xfId="8" applyNumberFormat="1" applyFont="1" applyBorder="1" applyAlignment="1">
      <alignment vertical="center"/>
    </xf>
    <xf numFmtId="170" fontId="4" fillId="0" borderId="41" xfId="8" applyNumberFormat="1" applyFont="1" applyBorder="1" applyAlignment="1">
      <alignment vertical="center"/>
    </xf>
    <xf numFmtId="170" fontId="4" fillId="0" borderId="42" xfId="8" applyNumberFormat="1" applyFont="1" applyFill="1" applyBorder="1" applyAlignment="1">
      <alignment vertical="center"/>
    </xf>
    <xf numFmtId="179" fontId="4" fillId="0" borderId="52" xfId="8" applyNumberFormat="1" applyFont="1" applyBorder="1" applyAlignment="1">
      <alignment vertical="center"/>
    </xf>
    <xf numFmtId="179" fontId="4" fillId="0" borderId="41" xfId="8" applyNumberFormat="1" applyFont="1" applyBorder="1" applyAlignment="1">
      <alignment vertical="center"/>
    </xf>
    <xf numFmtId="179" fontId="4" fillId="0" borderId="42" xfId="8" applyNumberFormat="1" applyFont="1" applyFill="1" applyBorder="1" applyAlignment="1">
      <alignment vertical="center"/>
    </xf>
    <xf numFmtId="178" fontId="0" fillId="0" borderId="23" xfId="8" applyNumberFormat="1" applyFont="1" applyFill="1" applyBorder="1"/>
    <xf numFmtId="178" fontId="0" fillId="0" borderId="15" xfId="8" applyNumberFormat="1" applyFont="1" applyFill="1" applyBorder="1"/>
    <xf numFmtId="178" fontId="0" fillId="0" borderId="3" xfId="8" applyNumberFormat="1" applyFont="1" applyFill="1" applyBorder="1"/>
    <xf numFmtId="173" fontId="0" fillId="0" borderId="0" xfId="0" applyNumberFormat="1"/>
    <xf numFmtId="180" fontId="0" fillId="0" borderId="0" xfId="8" applyNumberFormat="1" applyFont="1"/>
    <xf numFmtId="165" fontId="0" fillId="0" borderId="0" xfId="0" applyNumberFormat="1"/>
    <xf numFmtId="170" fontId="2" fillId="0" borderId="0" xfId="8" applyNumberFormat="1" applyFont="1" applyBorder="1" applyAlignment="1">
      <alignment vertical="center"/>
    </xf>
    <xf numFmtId="181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180" fontId="0" fillId="0" borderId="0" xfId="0" applyNumberFormat="1" applyFill="1" applyBorder="1"/>
    <xf numFmtId="167" fontId="0" fillId="0" borderId="0" xfId="3" applyNumberFormat="1" applyFont="1" applyFill="1" applyBorder="1" applyAlignment="1">
      <alignment horizontal="right" indent="1"/>
    </xf>
    <xf numFmtId="167" fontId="0" fillId="0" borderId="0" xfId="3" applyNumberFormat="1" applyFont="1" applyAlignment="1">
      <alignment vertical="center"/>
    </xf>
    <xf numFmtId="170" fontId="4" fillId="0" borderId="0" xfId="0" applyNumberFormat="1" applyFont="1"/>
    <xf numFmtId="167" fontId="0" fillId="0" borderId="131" xfId="3" applyNumberFormat="1" applyFont="1" applyBorder="1" applyAlignment="1">
      <alignment vertical="center"/>
    </xf>
    <xf numFmtId="167" fontId="0" fillId="0" borderId="18" xfId="3" applyNumberFormat="1" applyFont="1" applyBorder="1" applyAlignment="1">
      <alignment vertical="center"/>
    </xf>
    <xf numFmtId="0" fontId="0" fillId="0" borderId="131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0" fontId="0" fillId="0" borderId="0" xfId="8" applyNumberFormat="1" applyFont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8" applyNumberFormat="1" applyFont="1" applyAlignment="1">
      <alignment vertical="center"/>
    </xf>
    <xf numFmtId="3" fontId="0" fillId="0" borderId="22" xfId="0" applyNumberFormat="1" applyFill="1" applyBorder="1" applyAlignment="1">
      <alignment vertical="center"/>
    </xf>
    <xf numFmtId="167" fontId="13" fillId="0" borderId="0" xfId="3" applyNumberFormat="1" applyFont="1" applyAlignment="1">
      <alignment vertical="center"/>
    </xf>
    <xf numFmtId="185" fontId="0" fillId="0" borderId="0" xfId="0" applyNumberFormat="1"/>
    <xf numFmtId="170" fontId="22" fillId="51" borderId="116" xfId="8" applyNumberFormat="1" applyFont="1" applyFill="1" applyBorder="1" applyAlignment="1">
      <alignment horizontal="center" vertical="center" wrapText="1"/>
    </xf>
    <xf numFmtId="0" fontId="1" fillId="0" borderId="0" xfId="313" applyFont="1"/>
    <xf numFmtId="170" fontId="22" fillId="51" borderId="54" xfId="315" applyNumberFormat="1" applyFont="1" applyFill="1" applyBorder="1" applyAlignment="1">
      <alignment horizontal="centerContinuous" vertical="center" wrapText="1"/>
    </xf>
    <xf numFmtId="170" fontId="22" fillId="51" borderId="55" xfId="315" applyNumberFormat="1" applyFont="1" applyFill="1" applyBorder="1" applyAlignment="1">
      <alignment horizontal="centerContinuous" vertical="center" wrapText="1"/>
    </xf>
    <xf numFmtId="0" fontId="1" fillId="0" borderId="0" xfId="313" applyFont="1" applyAlignment="1">
      <alignment vertical="center"/>
    </xf>
    <xf numFmtId="170" fontId="22" fillId="51" borderId="115" xfId="315" applyNumberFormat="1" applyFont="1" applyFill="1" applyBorder="1" applyAlignment="1">
      <alignment horizontal="center" vertical="center"/>
    </xf>
    <xf numFmtId="170" fontId="22" fillId="51" borderId="116" xfId="315" applyNumberFormat="1" applyFont="1" applyFill="1" applyBorder="1" applyAlignment="1">
      <alignment horizontal="center" vertical="center"/>
    </xf>
    <xf numFmtId="0" fontId="1" fillId="0" borderId="59" xfId="313" applyFont="1" applyBorder="1" applyAlignment="1">
      <alignment horizontal="center" vertical="center"/>
    </xf>
    <xf numFmtId="170" fontId="1" fillId="0" borderId="93" xfId="315" applyNumberFormat="1" applyFont="1" applyBorder="1" applyAlignment="1">
      <alignment vertical="center"/>
    </xf>
    <xf numFmtId="170" fontId="1" fillId="0" borderId="83" xfId="315" applyNumberFormat="1" applyFont="1" applyBorder="1" applyAlignment="1">
      <alignment vertical="center"/>
    </xf>
    <xf numFmtId="43" fontId="1" fillId="0" borderId="0" xfId="315" applyFont="1"/>
    <xf numFmtId="170" fontId="1" fillId="0" borderId="0" xfId="315" applyNumberFormat="1" applyFont="1"/>
    <xf numFmtId="167" fontId="1" fillId="0" borderId="132" xfId="314" applyNumberFormat="1" applyFont="1" applyBorder="1" applyAlignment="1">
      <alignment horizontal="right" vertical="center" indent="1"/>
    </xf>
    <xf numFmtId="167" fontId="1" fillId="0" borderId="64" xfId="314" applyNumberFormat="1" applyFont="1" applyBorder="1" applyAlignment="1">
      <alignment horizontal="right" vertical="center" indent="1"/>
    </xf>
    <xf numFmtId="167" fontId="1" fillId="0" borderId="91" xfId="314" applyNumberFormat="1" applyFont="1" applyBorder="1" applyAlignment="1">
      <alignment horizontal="right" vertical="center" indent="1"/>
    </xf>
    <xf numFmtId="9" fontId="1" fillId="0" borderId="0" xfId="314" applyFont="1"/>
    <xf numFmtId="170" fontId="1" fillId="0" borderId="132" xfId="313" applyNumberFormat="1" applyFont="1" applyBorder="1" applyAlignment="1">
      <alignment vertical="center"/>
    </xf>
    <xf numFmtId="170" fontId="1" fillId="0" borderId="64" xfId="313" applyNumberFormat="1" applyFont="1" applyBorder="1" applyAlignment="1">
      <alignment vertical="center"/>
    </xf>
    <xf numFmtId="170" fontId="1" fillId="0" borderId="51" xfId="313" applyNumberFormat="1" applyFont="1" applyBorder="1" applyAlignment="1">
      <alignment vertical="center"/>
    </xf>
    <xf numFmtId="170" fontId="1" fillId="0" borderId="91" xfId="313" applyNumberFormat="1" applyFont="1" applyBorder="1" applyAlignment="1">
      <alignment vertical="center"/>
    </xf>
    <xf numFmtId="170" fontId="1" fillId="0" borderId="93" xfId="313" applyNumberFormat="1" applyFont="1" applyBorder="1" applyAlignment="1">
      <alignment vertical="center"/>
    </xf>
    <xf numFmtId="170" fontId="1" fillId="0" borderId="65" xfId="313" applyNumberFormat="1" applyFont="1" applyBorder="1" applyAlignment="1">
      <alignment vertical="center"/>
    </xf>
    <xf numFmtId="170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6" fontId="1" fillId="0" borderId="21" xfId="315" applyNumberFormat="1" applyFont="1" applyBorder="1" applyAlignment="1">
      <alignment vertical="center"/>
    </xf>
    <xf numFmtId="176" fontId="1" fillId="0" borderId="13" xfId="315" applyNumberFormat="1" applyFont="1" applyBorder="1" applyAlignment="1">
      <alignment vertical="center"/>
    </xf>
    <xf numFmtId="176" fontId="1" fillId="0" borderId="93" xfId="315" applyNumberFormat="1" applyFont="1" applyBorder="1" applyAlignment="1">
      <alignment vertical="center"/>
    </xf>
    <xf numFmtId="176" fontId="1" fillId="0" borderId="83" xfId="315" applyNumberFormat="1" applyFont="1" applyBorder="1" applyAlignment="1">
      <alignment vertical="center"/>
    </xf>
    <xf numFmtId="180" fontId="1" fillId="0" borderId="93" xfId="8" applyNumberFormat="1" applyFont="1" applyBorder="1" applyAlignment="1">
      <alignment vertical="center"/>
    </xf>
    <xf numFmtId="180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8" xfId="313" applyFont="1" applyBorder="1" applyAlignment="1">
      <alignment horizontal="left" vertical="center" indent="1"/>
    </xf>
    <xf numFmtId="180" fontId="1" fillId="0" borderId="21" xfId="8" applyNumberFormat="1" applyFont="1" applyBorder="1" applyAlignment="1">
      <alignment vertical="center"/>
    </xf>
    <xf numFmtId="180" fontId="1" fillId="0" borderId="13" xfId="8" applyNumberFormat="1" applyFont="1" applyBorder="1" applyAlignment="1">
      <alignment vertical="center"/>
    </xf>
    <xf numFmtId="0" fontId="1" fillId="0" borderId="0" xfId="313" applyFont="1" applyBorder="1" applyAlignment="1">
      <alignment horizontal="left" vertical="center"/>
    </xf>
    <xf numFmtId="167" fontId="1" fillId="0" borderId="0" xfId="314" applyNumberFormat="1" applyFont="1" applyBorder="1" applyAlignment="1">
      <alignment horizontal="right" vertical="center" indent="1"/>
    </xf>
    <xf numFmtId="170" fontId="23" fillId="0" borderId="51" xfId="313" applyNumberFormat="1" applyFont="1" applyBorder="1" applyAlignment="1">
      <alignment vertical="center"/>
    </xf>
    <xf numFmtId="170" fontId="1" fillId="0" borderId="92" xfId="313" applyNumberFormat="1" applyFont="1" applyBorder="1" applyAlignment="1">
      <alignment vertical="center"/>
    </xf>
    <xf numFmtId="0" fontId="1" fillId="0" borderId="0" xfId="313" applyFont="1" applyBorder="1" applyAlignment="1">
      <alignment horizontal="center" vertical="center"/>
    </xf>
    <xf numFmtId="179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 indent="1"/>
    </xf>
    <xf numFmtId="0" fontId="4" fillId="0" borderId="126" xfId="0" applyFont="1" applyBorder="1" applyAlignment="1">
      <alignment horizontal="left" vertical="center" indent="1"/>
    </xf>
    <xf numFmtId="186" fontId="1" fillId="0" borderId="52" xfId="8" applyNumberFormat="1" applyFont="1" applyBorder="1" applyAlignment="1">
      <alignment vertical="center"/>
    </xf>
    <xf numFmtId="175" fontId="1" fillId="0" borderId="21" xfId="8" applyNumberFormat="1" applyFont="1" applyBorder="1" applyAlignment="1">
      <alignment vertical="center"/>
    </xf>
    <xf numFmtId="175" fontId="1" fillId="0" borderId="13" xfId="8" applyNumberFormat="1" applyFont="1" applyBorder="1" applyAlignment="1">
      <alignment vertical="center"/>
    </xf>
    <xf numFmtId="180" fontId="0" fillId="0" borderId="124" xfId="8" applyNumberFormat="1" applyFont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70" fontId="22" fillId="51" borderId="135" xfId="315" applyNumberFormat="1" applyFont="1" applyFill="1" applyBorder="1" applyAlignment="1">
      <alignment horizontal="centerContinuous" vertical="center" wrapText="1"/>
    </xf>
    <xf numFmtId="0" fontId="1" fillId="0" borderId="136" xfId="313" applyFont="1" applyBorder="1" applyAlignment="1">
      <alignment horizontal="left" vertical="center" indent="1"/>
    </xf>
    <xf numFmtId="186" fontId="1" fillId="0" borderId="137" xfId="8" applyNumberFormat="1" applyFont="1" applyBorder="1" applyAlignment="1">
      <alignment vertical="center"/>
    </xf>
    <xf numFmtId="175" fontId="1" fillId="0" borderId="133" xfId="8" applyNumberFormat="1" applyFont="1" applyBorder="1" applyAlignment="1">
      <alignment vertical="center"/>
    </xf>
    <xf numFmtId="175" fontId="1" fillId="0" borderId="138" xfId="8" applyNumberFormat="1" applyFont="1" applyBorder="1" applyAlignment="1">
      <alignment vertical="center"/>
    </xf>
    <xf numFmtId="0" fontId="4" fillId="0" borderId="139" xfId="0" applyFont="1" applyBorder="1" applyAlignment="1">
      <alignment horizontal="left" vertical="center" indent="1"/>
    </xf>
    <xf numFmtId="180" fontId="1" fillId="0" borderId="51" xfId="313" applyNumberFormat="1" applyFont="1" applyBorder="1" applyAlignment="1">
      <alignment vertical="center"/>
    </xf>
    <xf numFmtId="180" fontId="1" fillId="0" borderId="68" xfId="313" applyNumberFormat="1" applyFont="1" applyBorder="1" applyAlignment="1">
      <alignment vertical="center"/>
    </xf>
    <xf numFmtId="167" fontId="0" fillId="0" borderId="13" xfId="3" applyNumberFormat="1" applyFont="1" applyBorder="1" applyAlignment="1">
      <alignment vertical="center"/>
    </xf>
    <xf numFmtId="167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7" fontId="0" fillId="0" borderId="19" xfId="3" applyNumberFormat="1" applyFont="1" applyBorder="1" applyAlignment="1">
      <alignment vertical="center"/>
    </xf>
    <xf numFmtId="167" fontId="0" fillId="0" borderId="15" xfId="3" applyNumberFormat="1" applyFont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2" fontId="0" fillId="0" borderId="0" xfId="0" applyNumberFormat="1"/>
    <xf numFmtId="0" fontId="23" fillId="19" borderId="27" xfId="313" applyFont="1" applyFill="1" applyBorder="1" applyAlignment="1">
      <alignment horizontal="left" vertical="center" indent="1"/>
    </xf>
    <xf numFmtId="186" fontId="23" fillId="19" borderId="106" xfId="8" applyNumberFormat="1" applyFont="1" applyFill="1" applyBorder="1" applyAlignment="1">
      <alignment vertical="center"/>
    </xf>
    <xf numFmtId="175" fontId="23" fillId="19" borderId="38" xfId="8" applyNumberFormat="1" applyFont="1" applyFill="1" applyBorder="1" applyAlignment="1">
      <alignment vertical="center"/>
    </xf>
    <xf numFmtId="175" fontId="23" fillId="19" borderId="29" xfId="8" applyNumberFormat="1" applyFont="1" applyFill="1" applyBorder="1" applyAlignment="1">
      <alignment vertical="center"/>
    </xf>
    <xf numFmtId="179" fontId="23" fillId="19" borderId="38" xfId="315" applyNumberFormat="1" applyFont="1" applyFill="1" applyBorder="1" applyAlignment="1">
      <alignment vertical="center"/>
    </xf>
    <xf numFmtId="179" fontId="23" fillId="19" borderId="29" xfId="315" applyNumberFormat="1" applyFont="1" applyFill="1" applyBorder="1" applyAlignment="1">
      <alignment vertical="center"/>
    </xf>
    <xf numFmtId="167" fontId="23" fillId="19" borderId="38" xfId="314" applyNumberFormat="1" applyFont="1" applyFill="1" applyBorder="1" applyAlignment="1">
      <alignment horizontal="right" vertical="center" indent="1"/>
    </xf>
    <xf numFmtId="167" fontId="23" fillId="19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0" fontId="13" fillId="19" borderId="24" xfId="8" applyNumberFormat="1" applyFont="1" applyFill="1" applyBorder="1" applyAlignment="1">
      <alignment vertical="center"/>
    </xf>
    <xf numFmtId="180" fontId="13" fillId="19" borderId="24" xfId="0" applyNumberFormat="1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 indent="1"/>
    </xf>
    <xf numFmtId="0" fontId="23" fillId="19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9" borderId="4" xfId="0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/>
    </xf>
    <xf numFmtId="0" fontId="23" fillId="19" borderId="126" xfId="0" applyFont="1" applyFill="1" applyBorder="1" applyAlignment="1">
      <alignment horizontal="left" vertical="center" indent="1"/>
    </xf>
    <xf numFmtId="180" fontId="13" fillId="19" borderId="127" xfId="8" applyNumberFormat="1" applyFont="1" applyFill="1" applyBorder="1" applyAlignment="1">
      <alignment vertical="center"/>
    </xf>
    <xf numFmtId="167" fontId="13" fillId="19" borderId="128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 applyBorder="1"/>
    <xf numFmtId="0" fontId="64" fillId="0" borderId="0" xfId="0" applyFont="1" applyBorder="1"/>
    <xf numFmtId="179" fontId="0" fillId="0" borderId="120" xfId="0" applyNumberFormat="1" applyBorder="1" applyAlignment="1">
      <alignment vertical="center"/>
    </xf>
    <xf numFmtId="179" fontId="0" fillId="0" borderId="121" xfId="0" applyNumberFormat="1" applyBorder="1" applyAlignment="1">
      <alignment vertical="center"/>
    </xf>
    <xf numFmtId="179" fontId="0" fillId="0" borderId="123" xfId="0" applyNumberFormat="1" applyBorder="1" applyAlignment="1">
      <alignment vertical="center"/>
    </xf>
    <xf numFmtId="179" fontId="0" fillId="0" borderId="124" xfId="0" applyNumberFormat="1" applyBorder="1" applyAlignment="1">
      <alignment vertical="center"/>
    </xf>
    <xf numFmtId="179" fontId="0" fillId="0" borderId="125" xfId="0" applyNumberFormat="1" applyBorder="1" applyAlignment="1">
      <alignment vertical="center"/>
    </xf>
    <xf numFmtId="179" fontId="0" fillId="0" borderId="126" xfId="0" applyNumberFormat="1" applyBorder="1" applyAlignment="1">
      <alignment vertical="center"/>
    </xf>
    <xf numFmtId="179" fontId="0" fillId="0" borderId="127" xfId="0" applyNumberFormat="1" applyBorder="1" applyAlignment="1">
      <alignment vertical="center"/>
    </xf>
    <xf numFmtId="179" fontId="0" fillId="0" borderId="128" xfId="0" applyNumberFormat="1" applyBorder="1" applyAlignment="1">
      <alignment vertical="center"/>
    </xf>
    <xf numFmtId="180" fontId="0" fillId="0" borderId="22" xfId="8" applyNumberFormat="1" applyFont="1" applyBorder="1" applyAlignment="1">
      <alignment vertical="center"/>
    </xf>
    <xf numFmtId="180" fontId="13" fillId="0" borderId="0" xfId="8" applyNumberFormat="1" applyFont="1" applyAlignment="1">
      <alignment vertical="center"/>
    </xf>
    <xf numFmtId="180" fontId="13" fillId="19" borderId="20" xfId="8" applyNumberFormat="1" applyFont="1" applyFill="1" applyBorder="1" applyAlignment="1">
      <alignment vertical="center"/>
    </xf>
    <xf numFmtId="180" fontId="13" fillId="19" borderId="17" xfId="8" applyNumberFormat="1" applyFont="1" applyFill="1" applyBorder="1" applyAlignment="1">
      <alignment vertical="center"/>
    </xf>
    <xf numFmtId="0" fontId="13" fillId="0" borderId="143" xfId="0" quotePrefix="1" applyFont="1" applyFill="1" applyBorder="1" applyAlignment="1">
      <alignment horizontal="left" vertical="center" indent="1"/>
    </xf>
    <xf numFmtId="0" fontId="25" fillId="0" borderId="144" xfId="0" applyFont="1" applyBorder="1" applyAlignment="1">
      <alignment vertical="center"/>
    </xf>
    <xf numFmtId="169" fontId="23" fillId="0" borderId="145" xfId="198" applyNumberFormat="1" applyFont="1" applyFill="1" applyBorder="1" applyAlignment="1">
      <alignment vertical="center"/>
    </xf>
    <xf numFmtId="0" fontId="12" fillId="0" borderId="146" xfId="0" applyFont="1" applyFill="1" applyBorder="1" applyAlignment="1">
      <alignment horizontal="left" vertical="center" indent="2"/>
    </xf>
    <xf numFmtId="0" fontId="27" fillId="0" borderId="147" xfId="0" applyFont="1" applyBorder="1" applyAlignment="1">
      <alignment vertical="center"/>
    </xf>
    <xf numFmtId="169" fontId="3" fillId="0" borderId="148" xfId="198" applyNumberFormat="1" applyFont="1" applyFill="1" applyBorder="1" applyAlignment="1">
      <alignment vertical="center"/>
    </xf>
    <xf numFmtId="0" fontId="13" fillId="0" borderId="146" xfId="0" quotePrefix="1" applyFont="1" applyFill="1" applyBorder="1" applyAlignment="1">
      <alignment horizontal="left" vertical="center" indent="1"/>
    </xf>
    <xf numFmtId="0" fontId="25" fillId="0" borderId="147" xfId="0" applyFont="1" applyBorder="1" applyAlignment="1">
      <alignment vertical="center"/>
    </xf>
    <xf numFmtId="169" fontId="23" fillId="0" borderId="148" xfId="198" applyNumberFormat="1" applyFont="1" applyFill="1" applyBorder="1" applyAlignment="1">
      <alignment vertical="center"/>
    </xf>
    <xf numFmtId="169" fontId="27" fillId="0" borderId="148" xfId="198" applyNumberFormat="1" applyFont="1" applyFill="1" applyBorder="1" applyAlignment="1">
      <alignment horizontal="right" vertical="center" indent="1"/>
    </xf>
    <xf numFmtId="169" fontId="25" fillId="0" borderId="148" xfId="198" applyNumberFormat="1" applyFont="1" applyFill="1" applyBorder="1" applyAlignment="1">
      <alignment horizontal="right" vertical="center" indent="1"/>
    </xf>
    <xf numFmtId="0" fontId="12" fillId="0" borderId="149" xfId="0" applyFont="1" applyFill="1" applyBorder="1" applyAlignment="1">
      <alignment horizontal="left" vertical="center" indent="2"/>
    </xf>
    <xf numFmtId="0" fontId="25" fillId="0" borderId="150" xfId="0" applyFont="1" applyBorder="1" applyAlignment="1">
      <alignment vertical="center"/>
    </xf>
    <xf numFmtId="169" fontId="25" fillId="0" borderId="151" xfId="198" applyNumberFormat="1" applyFont="1" applyFill="1" applyBorder="1" applyAlignment="1">
      <alignment horizontal="right" vertical="center" indent="1"/>
    </xf>
    <xf numFmtId="0" fontId="12" fillId="0" borderId="146" xfId="0" applyFont="1" applyFill="1" applyBorder="1" applyAlignment="1">
      <alignment horizontal="left" vertical="center" indent="3"/>
    </xf>
    <xf numFmtId="0" fontId="13" fillId="0" borderId="146" xfId="0" applyFont="1" applyFill="1" applyBorder="1" applyAlignment="1">
      <alignment horizontal="left" vertical="center" indent="1"/>
    </xf>
    <xf numFmtId="169" fontId="23" fillId="0" borderId="148" xfId="198" applyNumberFormat="1" applyFont="1" applyFill="1" applyBorder="1" applyAlignment="1">
      <alignment horizontal="center" vertical="center"/>
    </xf>
    <xf numFmtId="169" fontId="27" fillId="0" borderId="148" xfId="198" applyNumberFormat="1" applyFont="1" applyFill="1" applyBorder="1" applyAlignment="1">
      <alignment horizontal="center" vertical="center"/>
    </xf>
    <xf numFmtId="0" fontId="12" fillId="0" borderId="149" xfId="0" applyFont="1" applyFill="1" applyBorder="1" applyAlignment="1">
      <alignment horizontal="left" vertical="center" indent="3"/>
    </xf>
    <xf numFmtId="169" fontId="25" fillId="0" borderId="151" xfId="198" applyNumberFormat="1" applyFont="1" applyFill="1" applyBorder="1" applyAlignment="1">
      <alignment horizontal="center" vertical="center"/>
    </xf>
    <xf numFmtId="180" fontId="1" fillId="0" borderId="0" xfId="313" applyNumberFormat="1" applyFont="1"/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Continuous" vertical="center" wrapText="1"/>
    </xf>
    <xf numFmtId="0" fontId="32" fillId="3" borderId="61" xfId="210" applyFont="1" applyFill="1" applyBorder="1" applyAlignment="1">
      <alignment horizontal="center" vertical="center" wrapText="1"/>
    </xf>
    <xf numFmtId="0" fontId="32" fillId="3" borderId="62" xfId="210" applyFont="1" applyFill="1" applyBorder="1" applyAlignment="1">
      <alignment horizontal="center" vertical="center" wrapText="1"/>
    </xf>
    <xf numFmtId="0" fontId="32" fillId="3" borderId="90" xfId="210" applyFont="1" applyFill="1" applyBorder="1" applyAlignment="1">
      <alignment horizontal="center" vertical="center" wrapText="1"/>
    </xf>
    <xf numFmtId="0" fontId="32" fillId="3" borderId="63" xfId="210" applyFont="1" applyFill="1" applyBorder="1" applyAlignment="1">
      <alignment horizontal="center" vertical="center" wrapText="1"/>
    </xf>
    <xf numFmtId="0" fontId="32" fillId="3" borderId="87" xfId="0" applyFont="1" applyFill="1" applyBorder="1" applyAlignment="1">
      <alignment horizontal="centerContinuous" vertical="center"/>
    </xf>
    <xf numFmtId="0" fontId="32" fillId="3" borderId="88" xfId="0" applyFont="1" applyFill="1" applyBorder="1" applyAlignment="1">
      <alignment horizontal="centerContinuous" vertical="center"/>
    </xf>
    <xf numFmtId="0" fontId="32" fillId="3" borderId="89" xfId="0" applyFont="1" applyFill="1" applyBorder="1" applyAlignment="1">
      <alignment horizontal="centerContinuous" vertical="center"/>
    </xf>
    <xf numFmtId="0" fontId="12" fillId="0" borderId="152" xfId="0" applyFont="1" applyBorder="1" applyAlignment="1">
      <alignment horizontal="center" vertical="center"/>
    </xf>
    <xf numFmtId="3" fontId="0" fillId="0" borderId="153" xfId="0" applyNumberFormat="1" applyFont="1" applyFill="1" applyBorder="1" applyAlignment="1">
      <alignment vertical="center"/>
    </xf>
    <xf numFmtId="10" fontId="0" fillId="0" borderId="153" xfId="3" applyNumberFormat="1" applyFont="1" applyFill="1" applyBorder="1" applyAlignment="1">
      <alignment horizontal="center" vertical="center"/>
    </xf>
    <xf numFmtId="10" fontId="0" fillId="0" borderId="154" xfId="3" applyNumberFormat="1" applyFont="1" applyFill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0" fillId="0" borderId="124" xfId="0" applyNumberFormat="1" applyFont="1" applyFill="1" applyBorder="1" applyAlignment="1">
      <alignment vertical="center"/>
    </xf>
    <xf numFmtId="10" fontId="0" fillId="0" borderId="124" xfId="3" applyNumberFormat="1" applyFont="1" applyFill="1" applyBorder="1" applyAlignment="1">
      <alignment horizontal="center" vertical="center"/>
    </xf>
    <xf numFmtId="10" fontId="0" fillId="0" borderId="125" xfId="3" applyNumberFormat="1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" fontId="0" fillId="0" borderId="127" xfId="0" applyNumberFormat="1" applyFont="1" applyFill="1" applyBorder="1" applyAlignment="1">
      <alignment vertical="center"/>
    </xf>
    <xf numFmtId="10" fontId="0" fillId="0" borderId="127" xfId="3" applyNumberFormat="1" applyFont="1" applyFill="1" applyBorder="1" applyAlignment="1">
      <alignment horizontal="center" vertical="center"/>
    </xf>
    <xf numFmtId="10" fontId="0" fillId="0" borderId="128" xfId="3" applyNumberFormat="1" applyFont="1" applyFill="1" applyBorder="1" applyAlignment="1">
      <alignment horizontal="center" vertical="center"/>
    </xf>
    <xf numFmtId="3" fontId="13" fillId="19" borderId="24" xfId="0" applyNumberFormat="1" applyFont="1" applyFill="1" applyBorder="1" applyAlignment="1">
      <alignment vertical="center"/>
    </xf>
    <xf numFmtId="10" fontId="13" fillId="19" borderId="24" xfId="3" applyNumberFormat="1" applyFont="1" applyFill="1" applyBorder="1" applyAlignment="1">
      <alignment horizontal="center" vertical="center"/>
    </xf>
    <xf numFmtId="10" fontId="13" fillId="19" borderId="17" xfId="3" applyNumberFormat="1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vertical="center"/>
    </xf>
    <xf numFmtId="0" fontId="12" fillId="0" borderId="155" xfId="0" applyFont="1" applyBorder="1" applyAlignment="1">
      <alignment horizontal="left" vertical="center" indent="1"/>
    </xf>
    <xf numFmtId="0" fontId="0" fillId="0" borderId="156" xfId="0" applyBorder="1" applyAlignment="1">
      <alignment vertical="center"/>
    </xf>
    <xf numFmtId="180" fontId="0" fillId="0" borderId="154" xfId="8" applyNumberFormat="1" applyFont="1" applyBorder="1" applyAlignment="1">
      <alignment vertical="center"/>
    </xf>
    <xf numFmtId="0" fontId="12" fillId="0" borderId="146" xfId="0" applyFont="1" applyBorder="1" applyAlignment="1">
      <alignment horizontal="left" vertical="center" indent="1"/>
    </xf>
    <xf numFmtId="0" fontId="0" fillId="0" borderId="147" xfId="0" applyBorder="1" applyAlignment="1">
      <alignment vertical="center"/>
    </xf>
    <xf numFmtId="180" fontId="0" fillId="0" borderId="125" xfId="8" applyNumberFormat="1" applyFont="1" applyBorder="1" applyAlignment="1">
      <alignment vertical="center"/>
    </xf>
    <xf numFmtId="9" fontId="0" fillId="0" borderId="125" xfId="0" applyNumberFormat="1" applyBorder="1" applyAlignment="1">
      <alignment horizontal="right" vertical="center" indent="2"/>
    </xf>
    <xf numFmtId="0" fontId="12" fillId="0" borderId="149" xfId="0" applyFont="1" applyBorder="1" applyAlignment="1">
      <alignment horizontal="left" vertical="center" indent="1"/>
    </xf>
    <xf numFmtId="0" fontId="0" fillId="0" borderId="150" xfId="0" applyBorder="1" applyAlignment="1">
      <alignment vertical="center"/>
    </xf>
    <xf numFmtId="180" fontId="0" fillId="0" borderId="128" xfId="8" applyNumberFormat="1" applyFont="1" applyBorder="1" applyAlignment="1">
      <alignment vertical="center"/>
    </xf>
    <xf numFmtId="176" fontId="4" fillId="54" borderId="121" xfId="8" applyNumberFormat="1" applyFont="1" applyFill="1" applyBorder="1" applyAlignment="1">
      <alignment vertical="center"/>
    </xf>
    <xf numFmtId="176" fontId="4" fillId="54" borderId="122" xfId="8" applyNumberFormat="1" applyFont="1" applyFill="1" applyBorder="1" applyAlignment="1">
      <alignment vertical="center"/>
    </xf>
    <xf numFmtId="179" fontId="0" fillId="54" borderId="121" xfId="0" applyNumberFormat="1" applyFill="1" applyBorder="1" applyAlignment="1">
      <alignment vertical="center"/>
    </xf>
    <xf numFmtId="179" fontId="0" fillId="54" borderId="122" xfId="0" applyNumberFormat="1" applyFill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/>
    </xf>
    <xf numFmtId="180" fontId="0" fillId="0" borderId="140" xfId="8" applyNumberFormat="1" applyFont="1" applyBorder="1" applyAlignment="1">
      <alignment vertical="center"/>
    </xf>
    <xf numFmtId="167" fontId="0" fillId="0" borderId="141" xfId="3" applyNumberFormat="1" applyFont="1" applyBorder="1" applyAlignment="1">
      <alignment horizontal="right" vertical="center"/>
    </xf>
    <xf numFmtId="180" fontId="13" fillId="19" borderId="93" xfId="8" applyNumberFormat="1" applyFont="1" applyFill="1" applyBorder="1" applyAlignment="1">
      <alignment vertical="center"/>
    </xf>
    <xf numFmtId="167" fontId="13" fillId="19" borderId="83" xfId="3" applyNumberFormat="1" applyFont="1" applyFill="1" applyBorder="1" applyAlignment="1">
      <alignment horizontal="right" vertical="center"/>
    </xf>
    <xf numFmtId="173" fontId="0" fillId="0" borderId="124" xfId="8" applyNumberFormat="1" applyFont="1" applyBorder="1" applyAlignment="1">
      <alignment vertical="center"/>
    </xf>
    <xf numFmtId="173" fontId="0" fillId="0" borderId="125" xfId="8" applyNumberFormat="1" applyFont="1" applyBorder="1" applyAlignment="1">
      <alignment vertical="center"/>
    </xf>
    <xf numFmtId="173" fontId="0" fillId="0" borderId="127" xfId="8" applyNumberFormat="1" applyFont="1" applyBorder="1" applyAlignment="1">
      <alignment vertical="center"/>
    </xf>
    <xf numFmtId="173" fontId="0" fillId="0" borderId="128" xfId="8" applyNumberFormat="1" applyFont="1" applyBorder="1" applyAlignment="1">
      <alignment vertical="center"/>
    </xf>
    <xf numFmtId="0" fontId="13" fillId="19" borderId="0" xfId="0" applyFont="1" applyFill="1" applyBorder="1" applyAlignment="1">
      <alignment vertical="center"/>
    </xf>
    <xf numFmtId="3" fontId="13" fillId="19" borderId="0" xfId="0" applyNumberFormat="1" applyFont="1" applyFill="1" applyBorder="1" applyAlignment="1">
      <alignment vertical="center"/>
    </xf>
    <xf numFmtId="10" fontId="13" fillId="19" borderId="0" xfId="3" applyNumberFormat="1" applyFont="1" applyFill="1" applyBorder="1" applyAlignment="1">
      <alignment horizontal="center" vertical="center"/>
    </xf>
    <xf numFmtId="179" fontId="1" fillId="0" borderId="21" xfId="315" applyNumberFormat="1" applyFont="1" applyBorder="1" applyAlignment="1">
      <alignment vertical="center"/>
    </xf>
    <xf numFmtId="179" fontId="1" fillId="0" borderId="13" xfId="315" applyNumberFormat="1" applyFont="1" applyBorder="1" applyAlignment="1">
      <alignment vertical="center"/>
    </xf>
    <xf numFmtId="0" fontId="1" fillId="0" borderId="59" xfId="0" applyFont="1" applyBorder="1" applyAlignment="1">
      <alignment horizontal="left" vertical="center" indent="1"/>
    </xf>
    <xf numFmtId="166" fontId="0" fillId="0" borderId="130" xfId="1" applyNumberFormat="1" applyFont="1" applyBorder="1" applyAlignment="1">
      <alignment horizontal="center" vertical="center"/>
    </xf>
    <xf numFmtId="3" fontId="0" fillId="0" borderId="41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166" fontId="0" fillId="0" borderId="69" xfId="1" applyNumberFormat="1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 indent="1"/>
    </xf>
    <xf numFmtId="170" fontId="22" fillId="51" borderId="57" xfId="315" applyNumberFormat="1" applyFont="1" applyFill="1" applyBorder="1" applyAlignment="1">
      <alignment horizontal="center" vertical="center" wrapText="1"/>
    </xf>
    <xf numFmtId="170" fontId="22" fillId="51" borderId="129" xfId="315" applyNumberFormat="1" applyFont="1" applyFill="1" applyBorder="1" applyAlignment="1">
      <alignment horizontal="center" vertical="center" wrapText="1"/>
    </xf>
    <xf numFmtId="3" fontId="0" fillId="0" borderId="97" xfId="0" applyNumberFormat="1" applyFill="1" applyBorder="1" applyAlignment="1">
      <alignment vertical="center"/>
    </xf>
    <xf numFmtId="3" fontId="0" fillId="0" borderId="98" xfId="0" applyNumberFormat="1" applyFill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2" fillId="0" borderId="32" xfId="0" applyFont="1" applyBorder="1" applyAlignment="1">
      <alignment horizontal="left" vertical="center" indent="1"/>
    </xf>
    <xf numFmtId="3" fontId="0" fillId="0" borderId="32" xfId="0" applyNumberFormat="1" applyFill="1" applyBorder="1" applyAlignment="1">
      <alignment vertical="center"/>
    </xf>
    <xf numFmtId="3" fontId="13" fillId="0" borderId="37" xfId="0" applyNumberFormat="1" applyFont="1" applyFill="1" applyBorder="1" applyAlignment="1">
      <alignment vertical="center"/>
    </xf>
    <xf numFmtId="176" fontId="4" fillId="0" borderId="127" xfId="8" applyNumberFormat="1" applyFont="1" applyFill="1" applyBorder="1" applyAlignment="1">
      <alignment vertical="center"/>
    </xf>
    <xf numFmtId="10" fontId="4" fillId="0" borderId="18" xfId="3" applyNumberFormat="1" applyFont="1" applyFill="1" applyBorder="1" applyAlignment="1">
      <alignment vertical="center"/>
    </xf>
    <xf numFmtId="176" fontId="4" fillId="55" borderId="121" xfId="8" applyNumberFormat="1" applyFont="1" applyFill="1" applyBorder="1" applyAlignment="1">
      <alignment vertical="center"/>
    </xf>
    <xf numFmtId="180" fontId="0" fillId="0" borderId="13" xfId="8" applyNumberFormat="1" applyFont="1" applyBorder="1" applyAlignment="1">
      <alignment vertical="center"/>
    </xf>
    <xf numFmtId="180" fontId="0" fillId="0" borderId="14" xfId="8" applyNumberFormat="1" applyFont="1" applyBorder="1" applyAlignment="1">
      <alignment vertical="center"/>
    </xf>
    <xf numFmtId="180" fontId="0" fillId="0" borderId="23" xfId="8" applyNumberFormat="1" applyFont="1" applyBorder="1" applyAlignment="1">
      <alignment vertical="center"/>
    </xf>
    <xf numFmtId="180" fontId="0" fillId="0" borderId="15" xfId="8" applyNumberFormat="1" applyFont="1" applyBorder="1" applyAlignment="1">
      <alignment vertical="center"/>
    </xf>
    <xf numFmtId="0" fontId="1" fillId="0" borderId="58" xfId="313" applyFont="1" applyBorder="1" applyAlignment="1">
      <alignment horizontal="left" vertical="center" indent="1"/>
    </xf>
    <xf numFmtId="0" fontId="1" fillId="0" borderId="59" xfId="313" applyFont="1" applyBorder="1" applyAlignment="1">
      <alignment horizontal="left" vertical="center" indent="1"/>
    </xf>
    <xf numFmtId="180" fontId="0" fillId="0" borderId="93" xfId="8" applyNumberFormat="1" applyFont="1" applyBorder="1" applyAlignment="1">
      <alignment vertical="center"/>
    </xf>
    <xf numFmtId="167" fontId="0" fillId="0" borderId="141" xfId="3" applyNumberFormat="1" applyFont="1" applyBorder="1" applyAlignment="1">
      <alignment horizontal="right" vertical="center" indent="1"/>
    </xf>
    <xf numFmtId="167" fontId="0" fillId="0" borderId="83" xfId="3" applyNumberFormat="1" applyFont="1" applyBorder="1" applyAlignment="1">
      <alignment horizontal="right" vertical="center" indent="1"/>
    </xf>
    <xf numFmtId="180" fontId="0" fillId="0" borderId="0" xfId="0" applyNumberFormat="1" applyAlignment="1">
      <alignment vertical="center"/>
    </xf>
    <xf numFmtId="169" fontId="13" fillId="0" borderId="0" xfId="0" applyNumberFormat="1" applyFont="1" applyAlignment="1">
      <alignment vertical="center"/>
    </xf>
    <xf numFmtId="187" fontId="1" fillId="0" borderId="21" xfId="8" applyNumberFormat="1" applyFont="1" applyBorder="1" applyAlignment="1">
      <alignment vertical="center"/>
    </xf>
    <xf numFmtId="187" fontId="1" fillId="0" borderId="13" xfId="8" applyNumberFormat="1" applyFont="1" applyBorder="1" applyAlignment="1">
      <alignment vertical="center"/>
    </xf>
    <xf numFmtId="187" fontId="23" fillId="19" borderId="38" xfId="8" applyNumberFormat="1" applyFont="1" applyFill="1" applyBorder="1" applyAlignment="1">
      <alignment vertical="center"/>
    </xf>
    <xf numFmtId="187" fontId="23" fillId="19" borderId="29" xfId="8" applyNumberFormat="1" applyFont="1" applyFill="1" applyBorder="1" applyAlignment="1">
      <alignment vertical="center"/>
    </xf>
    <xf numFmtId="187" fontId="1" fillId="0" borderId="133" xfId="8" applyNumberFormat="1" applyFont="1" applyBorder="1" applyAlignment="1">
      <alignment vertical="center"/>
    </xf>
    <xf numFmtId="187" fontId="1" fillId="0" borderId="138" xfId="8" applyNumberFormat="1" applyFont="1" applyBorder="1" applyAlignment="1">
      <alignment vertical="center"/>
    </xf>
    <xf numFmtId="179" fontId="0" fillId="0" borderId="98" xfId="0" applyNumberFormat="1" applyFill="1" applyBorder="1"/>
    <xf numFmtId="179" fontId="0" fillId="0" borderId="22" xfId="0" applyNumberFormat="1" applyFill="1" applyBorder="1"/>
    <xf numFmtId="176" fontId="4" fillId="0" borderId="124" xfId="8" applyNumberFormat="1" applyFont="1" applyFill="1" applyBorder="1" applyAlignment="1">
      <alignment vertical="center"/>
    </xf>
    <xf numFmtId="179" fontId="4" fillId="0" borderId="22" xfId="8" applyNumberFormat="1" applyFont="1" applyFill="1" applyBorder="1" applyAlignment="1">
      <alignment vertical="center"/>
    </xf>
    <xf numFmtId="179" fontId="0" fillId="0" borderId="23" xfId="0" applyNumberFormat="1" applyFill="1" applyBorder="1"/>
    <xf numFmtId="179" fontId="0" fillId="0" borderId="15" xfId="0" applyNumberFormat="1" applyBorder="1"/>
    <xf numFmtId="0" fontId="4" fillId="0" borderId="0" xfId="0" applyFont="1" applyFill="1" applyBorder="1" applyAlignment="1">
      <alignment horizontal="center" vertical="center"/>
    </xf>
    <xf numFmtId="170" fontId="4" fillId="0" borderId="0" xfId="8" applyNumberFormat="1" applyFont="1" applyFill="1" applyBorder="1" applyAlignment="1">
      <alignment vertical="center"/>
    </xf>
    <xf numFmtId="179" fontId="4" fillId="0" borderId="0" xfId="8" applyNumberFormat="1" applyFont="1" applyFill="1" applyBorder="1" applyAlignment="1">
      <alignment vertical="center"/>
    </xf>
    <xf numFmtId="179" fontId="0" fillId="0" borderId="0" xfId="0" applyNumberFormat="1"/>
    <xf numFmtId="166" fontId="12" fillId="0" borderId="130" xfId="1" applyNumberFormat="1" applyFont="1" applyBorder="1" applyAlignment="1">
      <alignment horizontal="center" vertical="center"/>
    </xf>
    <xf numFmtId="166" fontId="0" fillId="0" borderId="130" xfId="1" applyNumberFormat="1" applyFont="1" applyBorder="1" applyAlignment="1">
      <alignment horizontal="center" vertical="center"/>
    </xf>
    <xf numFmtId="166" fontId="0" fillId="0" borderId="27" xfId="1" applyNumberFormat="1" applyFont="1" applyBorder="1" applyAlignment="1">
      <alignment horizontal="center" vertical="center"/>
    </xf>
    <xf numFmtId="0" fontId="15" fillId="3" borderId="95" xfId="0" applyFont="1" applyFill="1" applyBorder="1" applyAlignment="1">
      <alignment horizontal="left" vertical="center" wrapText="1" indent="1"/>
    </xf>
    <xf numFmtId="0" fontId="15" fillId="3" borderId="117" xfId="0" applyFont="1" applyFill="1" applyBorder="1" applyAlignment="1">
      <alignment horizontal="left" vertical="center" wrapText="1" indent="1"/>
    </xf>
    <xf numFmtId="0" fontId="15" fillId="3" borderId="49" xfId="0" applyFont="1" applyFill="1" applyBorder="1" applyAlignment="1">
      <alignment horizontal="left" vertical="center" wrapText="1" indent="1"/>
    </xf>
    <xf numFmtId="0" fontId="15" fillId="3" borderId="119" xfId="0" applyFont="1" applyFill="1" applyBorder="1" applyAlignment="1">
      <alignment horizontal="left" vertical="center" wrapText="1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4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left" vertical="center" wrapText="1"/>
    </xf>
    <xf numFmtId="0" fontId="32" fillId="2" borderId="142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9" xfId="0" applyFont="1" applyFill="1" applyBorder="1" applyAlignment="1">
      <alignment vertical="center" wrapText="1"/>
    </xf>
    <xf numFmtId="0" fontId="32" fillId="2" borderId="110" xfId="0" applyFont="1" applyFill="1" applyBorder="1" applyAlignment="1">
      <alignment vertical="center" wrapText="1"/>
    </xf>
    <xf numFmtId="0" fontId="32" fillId="2" borderId="111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170" fontId="22" fillId="51" borderId="49" xfId="8" applyNumberFormat="1" applyFont="1" applyFill="1" applyBorder="1" applyAlignment="1">
      <alignment horizontal="center" vertical="center" wrapText="1"/>
    </xf>
    <xf numFmtId="170" fontId="22" fillId="51" borderId="50" xfId="8" applyNumberFormat="1" applyFont="1" applyFill="1" applyBorder="1" applyAlignment="1">
      <alignment horizontal="center" vertical="center" wrapText="1"/>
    </xf>
    <xf numFmtId="170" fontId="22" fillId="51" borderId="129" xfId="8" applyNumberFormat="1" applyFont="1" applyFill="1" applyBorder="1" applyAlignment="1">
      <alignment horizontal="center" vertical="center" wrapText="1"/>
    </xf>
    <xf numFmtId="170" fontId="22" fillId="51" borderId="116" xfId="8" applyNumberFormat="1" applyFont="1" applyFill="1" applyBorder="1" applyAlignment="1">
      <alignment horizontal="center" vertical="center" wrapText="1"/>
    </xf>
    <xf numFmtId="170" fontId="22" fillId="51" borderId="57" xfId="8" applyNumberFormat="1" applyFont="1" applyFill="1" applyBorder="1" applyAlignment="1">
      <alignment horizontal="center" vertical="center" wrapText="1"/>
    </xf>
    <xf numFmtId="170" fontId="22" fillId="51" borderId="114" xfId="8" applyNumberFormat="1" applyFont="1" applyFill="1" applyBorder="1" applyAlignment="1">
      <alignment horizontal="center" vertical="center" wrapText="1"/>
    </xf>
    <xf numFmtId="170" fontId="22" fillId="51" borderId="49" xfId="315" applyNumberFormat="1" applyFont="1" applyFill="1" applyBorder="1" applyAlignment="1">
      <alignment horizontal="center" vertical="center" wrapText="1"/>
    </xf>
    <xf numFmtId="170" fontId="22" fillId="51" borderId="50" xfId="315" applyNumberFormat="1" applyFont="1" applyFill="1" applyBorder="1" applyAlignment="1">
      <alignment horizontal="center" vertical="center" wrapText="1"/>
    </xf>
    <xf numFmtId="170" fontId="22" fillId="51" borderId="16" xfId="315" applyNumberFormat="1" applyFont="1" applyFill="1" applyBorder="1" applyAlignment="1">
      <alignment horizontal="center" vertical="center" wrapText="1"/>
    </xf>
    <xf numFmtId="170" fontId="22" fillId="51" borderId="134" xfId="315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0" borderId="142" xfId="0" applyFont="1" applyBorder="1" applyAlignment="1">
      <alignment horizontal="left" wrapText="1"/>
    </xf>
    <xf numFmtId="170" fontId="22" fillId="51" borderId="135" xfId="8" applyNumberFormat="1" applyFont="1" applyFill="1" applyBorder="1" applyAlignment="1">
      <alignment horizontal="center" vertical="center" wrapText="1"/>
    </xf>
    <xf numFmtId="170" fontId="22" fillId="51" borderId="88" xfId="8" applyNumberFormat="1" applyFont="1" applyFill="1" applyBorder="1" applyAlignment="1">
      <alignment horizontal="center" vertical="center" wrapText="1"/>
    </xf>
    <xf numFmtId="170" fontId="22" fillId="51" borderId="89" xfId="8" applyNumberFormat="1" applyFont="1" applyFill="1" applyBorder="1" applyAlignment="1">
      <alignment horizontal="center" vertical="center" wrapText="1"/>
    </xf>
  </cellXfs>
  <cellStyles count="317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9.8308982835843555</c:v>
                </c:pt>
                <c:pt idx="1">
                  <c:v>8.3302395642797258</c:v>
                </c:pt>
                <c:pt idx="2">
                  <c:v>3.6869821389956581</c:v>
                </c:pt>
                <c:pt idx="3">
                  <c:v>2.9043629887077103</c:v>
                </c:pt>
                <c:pt idx="4">
                  <c:v>4.4130262197457588E-2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17.054648066048546</c:v>
                </c:pt>
                <c:pt idx="1">
                  <c:v>21.314142737722747</c:v>
                </c:pt>
                <c:pt idx="2">
                  <c:v>10.279874654493725</c:v>
                </c:pt>
                <c:pt idx="3">
                  <c:v>7.8988017287150614</c:v>
                </c:pt>
                <c:pt idx="4">
                  <c:v>0.11612014597804203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17.245614921977605</c:v>
                </c:pt>
                <c:pt idx="1">
                  <c:v>18.236631662555165</c:v>
                </c:pt>
                <c:pt idx="2">
                  <c:v>9.1152402851869923</c:v>
                </c:pt>
                <c:pt idx="3">
                  <c:v>7.0080663728995027</c:v>
                </c:pt>
                <c:pt idx="4">
                  <c:v>0.10930171153486773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11.581908194223203</c:v>
                </c:pt>
                <c:pt idx="1">
                  <c:v>12.46826257920887</c:v>
                </c:pt>
                <c:pt idx="2">
                  <c:v>6.2078521401110072</c:v>
                </c:pt>
                <c:pt idx="3">
                  <c:v>4.7359130629861914</c:v>
                </c:pt>
                <c:pt idx="4">
                  <c:v>8.2592439772970302E-2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11.353822382932309</c:v>
                </c:pt>
                <c:pt idx="1">
                  <c:v>8.7020718498664102</c:v>
                </c:pt>
                <c:pt idx="2">
                  <c:v>4.1855077093247743</c:v>
                </c:pt>
                <c:pt idx="3">
                  <c:v>3.1747621494618912</c:v>
                </c:pt>
                <c:pt idx="4">
                  <c:v>7.5385609447643692E-2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42.67808807534638</c:v>
                </c:pt>
                <c:pt idx="1">
                  <c:v>35.974928439728316</c:v>
                </c:pt>
                <c:pt idx="2">
                  <c:v>19.177204092835257</c:v>
                </c:pt>
                <c:pt idx="3">
                  <c:v>12.665231384285265</c:v>
                </c:pt>
                <c:pt idx="4">
                  <c:v>0.47791478021195527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44.572231906803623</c:v>
                </c:pt>
                <c:pt idx="1">
                  <c:v>36.441653854778714</c:v>
                </c:pt>
                <c:pt idx="2">
                  <c:v>21.011637760670354</c:v>
                </c:pt>
                <c:pt idx="3">
                  <c:v>13.347686049123396</c:v>
                </c:pt>
                <c:pt idx="4">
                  <c:v>0.46776781531641465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46.629338088497057</c:v>
                </c:pt>
                <c:pt idx="1">
                  <c:v>37.627788411418038</c:v>
                </c:pt>
                <c:pt idx="2">
                  <c:v>23.11278514760501</c:v>
                </c:pt>
                <c:pt idx="3">
                  <c:v>12.280220903865716</c:v>
                </c:pt>
                <c:pt idx="4">
                  <c:v>0.52192499545931625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43.978941334378725</c:v>
                </c:pt>
                <c:pt idx="1">
                  <c:v>36.25218116983897</c:v>
                </c:pt>
                <c:pt idx="2">
                  <c:v>21.4859990879383</c:v>
                </c:pt>
                <c:pt idx="3">
                  <c:v>12.699495123632708</c:v>
                </c:pt>
                <c:pt idx="4">
                  <c:v>0.48133679694235942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46.929944306221515</c:v>
                </c:pt>
                <c:pt idx="1">
                  <c:v>37.343676368238157</c:v>
                </c:pt>
                <c:pt idx="2">
                  <c:v>21.558397397414062</c:v>
                </c:pt>
                <c:pt idx="3">
                  <c:v>16.019989584773995</c:v>
                </c:pt>
                <c:pt idx="4">
                  <c:v>0.35076624368030085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4.3025838517157426</c:v>
                </c:pt>
                <c:pt idx="1">
                  <c:v>3.7815480039393914</c:v>
                </c:pt>
                <c:pt idx="2">
                  <c:v>1.4970119931921708</c:v>
                </c:pt>
                <c:pt idx="3">
                  <c:v>1.1295802442541925</c:v>
                </c:pt>
                <c:pt idx="4">
                  <c:v>9.4440856601084189E-3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23.74539930894796</c:v>
                </c:pt>
                <c:pt idx="1">
                  <c:v>29.008567587848976</c:v>
                </c:pt>
                <c:pt idx="2">
                  <c:v>14.451061022307421</c:v>
                </c:pt>
                <c:pt idx="3">
                  <c:v>10.846962995011451</c:v>
                </c:pt>
                <c:pt idx="4">
                  <c:v>0.11275404818884222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23.54733486264799</c:v>
                </c:pt>
                <c:pt idx="1">
                  <c:v>24.513221861084297</c:v>
                </c:pt>
                <c:pt idx="2">
                  <c:v>11.099071569857809</c:v>
                </c:pt>
                <c:pt idx="3">
                  <c:v>11.55529990504129</c:v>
                </c:pt>
                <c:pt idx="4">
                  <c:v>0.13601402044665284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7.702540167468177</c:v>
                </c:pt>
                <c:pt idx="1">
                  <c:v>8.6658771291789716</c:v>
                </c:pt>
                <c:pt idx="2">
                  <c:v>4.8490547502353945</c:v>
                </c:pt>
                <c:pt idx="3">
                  <c:v>1.7742184908481022</c:v>
                </c:pt>
                <c:pt idx="4">
                  <c:v>0.19477027998339314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56.042391410298698</c:v>
                </c:pt>
                <c:pt idx="1">
                  <c:v>47.577853411352045</c:v>
                </c:pt>
                <c:pt idx="2">
                  <c:v>26.110658219716871</c:v>
                </c:pt>
                <c:pt idx="3">
                  <c:v>17.222860097434268</c:v>
                </c:pt>
                <c:pt idx="4">
                  <c:v>0.42666634643238954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58.529440151457926</c:v>
                </c:pt>
                <c:pt idx="1">
                  <c:v>48.194923605423149</c:v>
                </c:pt>
                <c:pt idx="2">
                  <c:v>28.608571104275555</c:v>
                </c:pt>
                <c:pt idx="3">
                  <c:v>18.150752464370864</c:v>
                </c:pt>
                <c:pt idx="4">
                  <c:v>0.41759223224553133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63.233035874083519</c:v>
                </c:pt>
                <c:pt idx="1">
                  <c:v>51.768027305280533</c:v>
                </c:pt>
                <c:pt idx="2">
                  <c:v>29.016421636370847</c:v>
                </c:pt>
                <c:pt idx="3">
                  <c:v>21.182773346343787</c:v>
                </c:pt>
                <c:pt idx="4">
                  <c:v>0.62435470324839137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28.082571098435565</c:v>
                </c:pt>
                <c:pt idx="1">
                  <c:v>24.015777811066435</c:v>
                </c:pt>
                <c:pt idx="2">
                  <c:v>15.29174741600872</c:v>
                </c:pt>
                <c:pt idx="3">
                  <c:v>4.6336778244549732</c:v>
                </c:pt>
                <c:pt idx="4">
                  <c:v>0.96099559438975724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T&amp;D'!$A$24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T&amp;D'!$B$24:$G$24</c:f>
              <c:numCache>
                <c:formatCode>_-* #,##0.0\ _P_t_a_-;\-* #,##0.0\ _P_t_a_-;_-* "-"??\ _P_t_a_-;_-@_-</c:formatCode>
                <c:ptCount val="6"/>
                <c:pt idx="0">
                  <c:v>9.2960785712123304</c:v>
                </c:pt>
                <c:pt idx="1">
                  <c:v>8.1226656477411918</c:v>
                </c:pt>
                <c:pt idx="2">
                  <c:v>3.275375881103971</c:v>
                </c:pt>
                <c:pt idx="3">
                  <c:v>2.4902589715139043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T&amp;D'!$A$25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T&amp;D'!$B$25:$G$25</c:f>
              <c:numCache>
                <c:formatCode>_-* #,##0.0\ _P_t_a_-;\-* #,##0.0\ _P_t_a_-;_-* "-"??\ _P_t_a_-;_-@_-</c:formatCode>
                <c:ptCount val="6"/>
                <c:pt idx="0">
                  <c:v>37.920296585357633</c:v>
                </c:pt>
                <c:pt idx="1">
                  <c:v>37.920296585357633</c:v>
                </c:pt>
                <c:pt idx="2">
                  <c:v>20.581097901076841</c:v>
                </c:pt>
                <c:pt idx="3">
                  <c:v>15.557173003781886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T&amp;D'!$A$27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T&amp;D'!$B$27:$G$27</c:f>
              <c:numCache>
                <c:formatCode>_-* #,##0.0\ _P_t_a_-;\-* #,##0.0\ _P_t_a_-;_-* "-"??\ _P_t_a_-;_-@_-</c:formatCode>
                <c:ptCount val="6"/>
                <c:pt idx="0">
                  <c:v>16.303281356727535</c:v>
                </c:pt>
                <c:pt idx="1">
                  <c:v>16.303281356727535</c:v>
                </c:pt>
                <c:pt idx="2">
                  <c:v>8.9228066416497231</c:v>
                </c:pt>
                <c:pt idx="3">
                  <c:v>5.2159898013746888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T&amp;D'!$A$28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T&amp;D'!$B$28:$G$28</c:f>
              <c:numCache>
                <c:formatCode>_-* #,##0.0\ _P_t_a_-;\-* #,##0.0\ _P_t_a_-;_-* "-"??\ _P_t_a_-;_-@_-</c:formatCode>
                <c:ptCount val="6"/>
                <c:pt idx="0">
                  <c:v>19.175933021843665</c:v>
                </c:pt>
                <c:pt idx="1">
                  <c:v>14.697283550529924</c:v>
                </c:pt>
                <c:pt idx="2">
                  <c:v>7.06907443057018</c:v>
                </c:pt>
                <c:pt idx="3">
                  <c:v>5.3619850905790418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T&amp;D'!$A$26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T&amp;D'!$B$26:$G$26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33.273179865925201</c:v>
                      </c:pt>
                      <c:pt idx="1">
                        <c:v>33.273179865925201</c:v>
                      </c:pt>
                      <c:pt idx="2">
                        <c:v>16.306227082902183</c:v>
                      </c:pt>
                      <c:pt idx="3">
                        <c:v>14.546596094342732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T&amp;D'!$A$24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T&amp;D'!$I$24:$N$24</c:f>
              <c:numCache>
                <c:formatCode>_-* #,##0.0\ _P_t_a_-;\-* #,##0.0\ _P_t_a_-;_-* "-"??\ _P_t_a_-;_-@_-</c:formatCode>
                <c:ptCount val="6"/>
                <c:pt idx="0">
                  <c:v>54.434968970948482</c:v>
                </c:pt>
                <c:pt idx="1">
                  <c:v>46.11566054941823</c:v>
                </c:pt>
                <c:pt idx="2">
                  <c:v>25.093564835318062</c:v>
                </c:pt>
                <c:pt idx="3">
                  <c:v>16.557949657102313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T&amp;D'!$A$25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T&amp;D'!$I$25:$N$25</c:f>
              <c:numCache>
                <c:formatCode>_-* #,##0.0\ _P_t_a_-;\-* #,##0.0\ _P_t_a_-;_-* "-"??\ _P_t_a_-;_-@_-</c:formatCode>
                <c:ptCount val="6"/>
                <c:pt idx="0">
                  <c:v>57.511948579094735</c:v>
                </c:pt>
                <c:pt idx="1">
                  <c:v>47.257128093999029</c:v>
                </c:pt>
                <c:pt idx="2">
                  <c:v>27.813894499990273</c:v>
                </c:pt>
                <c:pt idx="3">
                  <c:v>17.653023435407494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T&amp;D'!$A$26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T&amp;D'!$I$26:$N$26</c:f>
              <c:numCache>
                <c:formatCode>_-* #,##0.0\ _P_t_a_-;\-* #,##0.0\ _P_t_a_-;_-* "-"??\ _P_t_a_-;_-@_-</c:formatCode>
                <c:ptCount val="6"/>
                <c:pt idx="0">
                  <c:v>57.344045718553694</c:v>
                </c:pt>
                <c:pt idx="1">
                  <c:v>46.648630043087863</c:v>
                </c:pt>
                <c:pt idx="2">
                  <c:v>27.24912951263542</c:v>
                </c:pt>
                <c:pt idx="3">
                  <c:v>17.389251844315893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T&amp;D'!$A$27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T&amp;D'!$I$27:$N$27</c:f>
              <c:numCache>
                <c:formatCode>_-* #,##0.0\ _P_t_a_-;\-* #,##0.0\ _P_t_a_-;_-* "-"??\ _P_t_a_-;_-@_-</c:formatCode>
                <c:ptCount val="6"/>
                <c:pt idx="0">
                  <c:v>36.555314101219714</c:v>
                </c:pt>
                <c:pt idx="1">
                  <c:v>30.60193963157565</c:v>
                </c:pt>
                <c:pt idx="2">
                  <c:v>18.709618866518717</c:v>
                </c:pt>
                <c:pt idx="3">
                  <c:v>8.6755143991461754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T&amp;D'!$A$28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T&amp;D'!$I$28:$N$28</c:f>
              <c:numCache>
                <c:formatCode>_-* #,##0.0\ _P_t_a_-;\-* #,##0.0\ _P_t_a_-;_-* "-"??\ _P_t_a_-;_-@_-</c:formatCode>
                <c:ptCount val="6"/>
                <c:pt idx="0">
                  <c:v>50.218909170074028</c:v>
                </c:pt>
                <c:pt idx="1">
                  <c:v>39.960812213548166</c:v>
                </c:pt>
                <c:pt idx="2">
                  <c:v>23.069262424195362</c:v>
                </c:pt>
                <c:pt idx="3">
                  <c:v>17.142709495111067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129921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1FC56-A208-417E-ABF7-0626A95B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6084951" cy="602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244221</xdr:colOff>
      <xdr:row>3</xdr:row>
      <xdr:rowOff>95631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208026</xdr:colOff>
      <xdr:row>3</xdr:row>
      <xdr:rowOff>95631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21336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29</xdr:row>
      <xdr:rowOff>38100</xdr:rowOff>
    </xdr:from>
    <xdr:to>
      <xdr:col>6</xdr:col>
      <xdr:colOff>847724</xdr:colOff>
      <xdr:row>47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29</xdr:row>
      <xdr:rowOff>19050</xdr:rowOff>
    </xdr:from>
    <xdr:to>
      <xdr:col>14</xdr:col>
      <xdr:colOff>19051</xdr:colOff>
      <xdr:row>47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478536</xdr:colOff>
      <xdr:row>3</xdr:row>
      <xdr:rowOff>95631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667131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53"/>
  <sheetViews>
    <sheetView showGridLines="0" topLeftCell="A115" zoomScaleNormal="100" zoomScaleSheetLayoutView="115" workbookViewId="0">
      <selection activeCell="A150" sqref="A150"/>
    </sheetView>
  </sheetViews>
  <sheetFormatPr baseColWidth="10" defaultColWidth="11.44140625" defaultRowHeight="13.2" x14ac:dyDescent="0.25"/>
  <cols>
    <col min="1" max="1" width="20.44140625" style="1" customWidth="1"/>
    <col min="2" max="2" width="15.33203125" style="1" customWidth="1"/>
    <col min="3" max="3" width="18.44140625" style="1" bestFit="1" customWidth="1"/>
    <col min="4" max="4" width="15.109375" style="1" customWidth="1"/>
    <col min="5" max="5" width="17.33203125" style="1" customWidth="1"/>
    <col min="6" max="6" width="14.5546875" style="1" customWidth="1"/>
    <col min="7" max="7" width="12.6640625" style="1" customWidth="1"/>
    <col min="8" max="8" width="13.6640625" style="1" customWidth="1"/>
    <col min="9" max="9" width="12.6640625" style="1" customWidth="1"/>
    <col min="10" max="10" width="8.88671875" style="1" customWidth="1"/>
    <col min="11" max="11" width="17.5546875" style="1" customWidth="1"/>
    <col min="12" max="16384" width="11.44140625" style="1"/>
  </cols>
  <sheetData>
    <row r="6" spans="1:8" s="4" customFormat="1" ht="30" customHeight="1" x14ac:dyDescent="0.25">
      <c r="A6" s="401" t="s">
        <v>188</v>
      </c>
      <c r="B6" s="401"/>
    </row>
    <row r="7" spans="1:8" ht="5.0999999999999996" customHeight="1" x14ac:dyDescent="0.25"/>
    <row r="8" spans="1:8" s="2" customFormat="1" ht="19.5" customHeight="1" x14ac:dyDescent="0.25">
      <c r="A8" s="5" t="s">
        <v>111</v>
      </c>
      <c r="B8" s="5"/>
    </row>
    <row r="9" spans="1:8" ht="5.0999999999999996" customHeight="1" x14ac:dyDescent="0.25">
      <c r="D9" s="2"/>
      <c r="E9" s="2"/>
      <c r="F9" s="2"/>
      <c r="G9" s="2"/>
      <c r="H9" s="2"/>
    </row>
    <row r="10" spans="1:8" s="2" customFormat="1" ht="19.5" customHeight="1" x14ac:dyDescent="0.25">
      <c r="A10" s="5" t="s">
        <v>112</v>
      </c>
      <c r="B10" s="5"/>
    </row>
    <row r="11" spans="1:8" ht="13.8" thickBot="1" x14ac:dyDescent="0.3">
      <c r="D11" s="2"/>
      <c r="E11" s="2"/>
      <c r="F11" s="2"/>
      <c r="G11" s="2"/>
      <c r="H11" s="2"/>
    </row>
    <row r="12" spans="1:8" s="26" customFormat="1" ht="53.4" customHeight="1" thickBot="1" x14ac:dyDescent="0.3">
      <c r="C12" s="60" t="s">
        <v>226</v>
      </c>
      <c r="D12" s="2"/>
      <c r="E12" s="2"/>
      <c r="F12" s="2"/>
      <c r="G12" s="2"/>
    </row>
    <row r="13" spans="1:8" s="26" customFormat="1" ht="7.5" customHeight="1" thickBot="1" x14ac:dyDescent="0.3">
      <c r="C13" s="51"/>
      <c r="D13" s="2"/>
      <c r="E13" s="2"/>
      <c r="F13" s="2"/>
      <c r="G13" s="2"/>
    </row>
    <row r="14" spans="1:8" s="27" customFormat="1" ht="34.5" customHeight="1" x14ac:dyDescent="0.25">
      <c r="A14" s="562" t="s">
        <v>39</v>
      </c>
      <c r="B14" s="563"/>
      <c r="C14" s="61">
        <f>C15+C18+C19</f>
        <v>1630898.616605636</v>
      </c>
      <c r="D14" s="2"/>
      <c r="E14" s="542"/>
      <c r="F14" s="333"/>
      <c r="G14" s="2"/>
    </row>
    <row r="15" spans="1:8" s="28" customFormat="1" ht="20.100000000000001" customHeight="1" x14ac:dyDescent="0.25">
      <c r="A15" s="441" t="s">
        <v>25</v>
      </c>
      <c r="B15" s="442"/>
      <c r="C15" s="443">
        <v>1709997.8330000001</v>
      </c>
      <c r="D15" s="2"/>
      <c r="E15" s="2"/>
      <c r="F15" s="2"/>
      <c r="G15" s="2"/>
    </row>
    <row r="16" spans="1:8" s="29" customFormat="1" ht="20.100000000000001" customHeight="1" x14ac:dyDescent="0.25">
      <c r="A16" s="444" t="s">
        <v>25</v>
      </c>
      <c r="B16" s="445"/>
      <c r="C16" s="446"/>
      <c r="D16" s="2"/>
      <c r="E16" s="2"/>
      <c r="F16" s="2"/>
      <c r="G16" s="2"/>
    </row>
    <row r="17" spans="1:9" s="29" customFormat="1" ht="20.100000000000001" customHeight="1" x14ac:dyDescent="0.25">
      <c r="A17" s="444" t="s">
        <v>33</v>
      </c>
      <c r="B17" s="445"/>
      <c r="C17" s="446"/>
      <c r="D17" s="2"/>
      <c r="E17" s="2"/>
      <c r="F17" s="2"/>
      <c r="G17" s="2"/>
    </row>
    <row r="18" spans="1:9" s="28" customFormat="1" ht="20.100000000000001" customHeight="1" x14ac:dyDescent="0.25">
      <c r="A18" s="447" t="s">
        <v>26</v>
      </c>
      <c r="B18" s="448"/>
      <c r="C18" s="449">
        <v>-79099.216394364121</v>
      </c>
      <c r="D18" s="2"/>
      <c r="E18" s="2"/>
      <c r="F18" s="2"/>
      <c r="G18" s="2"/>
    </row>
    <row r="19" spans="1:9" s="28" customFormat="1" ht="20.100000000000001" customHeight="1" x14ac:dyDescent="0.25">
      <c r="A19" s="447" t="s">
        <v>27</v>
      </c>
      <c r="B19" s="448"/>
      <c r="C19" s="449">
        <f>SUM(C20:C23)</f>
        <v>0</v>
      </c>
      <c r="D19" s="2"/>
      <c r="E19" s="2"/>
      <c r="F19" s="2"/>
      <c r="G19" s="2"/>
    </row>
    <row r="20" spans="1:9" s="28" customFormat="1" ht="20.100000000000001" customHeight="1" x14ac:dyDescent="0.25">
      <c r="A20" s="444" t="s">
        <v>32</v>
      </c>
      <c r="B20" s="448"/>
      <c r="C20" s="450" t="s">
        <v>28</v>
      </c>
      <c r="D20" s="2"/>
      <c r="E20" s="2"/>
      <c r="F20" s="2"/>
      <c r="G20" s="2"/>
    </row>
    <row r="21" spans="1:9" s="28" customFormat="1" ht="20.100000000000001" customHeight="1" x14ac:dyDescent="0.25">
      <c r="A21" s="444" t="s">
        <v>29</v>
      </c>
      <c r="B21" s="448"/>
      <c r="C21" s="450" t="s">
        <v>28</v>
      </c>
      <c r="D21" s="2"/>
      <c r="E21" s="2"/>
      <c r="F21" s="2"/>
      <c r="G21" s="2"/>
    </row>
    <row r="22" spans="1:9" s="28" customFormat="1" ht="20.100000000000001" customHeight="1" x14ac:dyDescent="0.25">
      <c r="A22" s="444" t="s">
        <v>136</v>
      </c>
      <c r="B22" s="448"/>
      <c r="C22" s="451" t="s">
        <v>28</v>
      </c>
      <c r="D22" s="2"/>
      <c r="E22" s="2"/>
      <c r="F22" s="2"/>
      <c r="G22" s="2"/>
    </row>
    <row r="23" spans="1:9" s="28" customFormat="1" ht="20.100000000000001" customHeight="1" thickBot="1" x14ac:dyDescent="0.3">
      <c r="A23" s="452" t="s">
        <v>30</v>
      </c>
      <c r="B23" s="453"/>
      <c r="C23" s="454" t="s">
        <v>28</v>
      </c>
      <c r="D23" s="2"/>
      <c r="E23" s="2"/>
      <c r="F23" s="2"/>
      <c r="G23" s="2"/>
    </row>
    <row r="24" spans="1:9" s="28" customFormat="1" x14ac:dyDescent="0.25">
      <c r="A24" s="240" t="s">
        <v>227</v>
      </c>
      <c r="B24" s="211"/>
      <c r="C24" s="212"/>
      <c r="D24" s="2"/>
      <c r="E24" s="2"/>
      <c r="F24" s="2"/>
      <c r="G24" s="2"/>
    </row>
    <row r="25" spans="1:9" s="26" customFormat="1" x14ac:dyDescent="0.25">
      <c r="B25" s="51"/>
      <c r="D25" s="2"/>
      <c r="E25" s="2"/>
      <c r="F25" s="2"/>
      <c r="G25" s="2"/>
    </row>
    <row r="26" spans="1:9" s="26" customFormat="1" ht="15.6" x14ac:dyDescent="0.25">
      <c r="A26" s="5" t="s">
        <v>113</v>
      </c>
      <c r="B26" s="52"/>
      <c r="C26" s="2"/>
      <c r="D26" s="2"/>
      <c r="E26" s="2"/>
      <c r="F26" s="2"/>
      <c r="G26" s="2"/>
    </row>
    <row r="27" spans="1:9" s="26" customFormat="1" ht="13.8" thickBot="1" x14ac:dyDescent="0.3">
      <c r="B27" s="51"/>
      <c r="D27" s="2"/>
      <c r="E27" s="2"/>
      <c r="F27" s="2"/>
    </row>
    <row r="28" spans="1:9" s="26" customFormat="1" ht="48.6" customHeight="1" thickBot="1" x14ac:dyDescent="0.3">
      <c r="C28" s="60" t="s">
        <v>226</v>
      </c>
      <c r="D28" s="2"/>
      <c r="E28" s="2"/>
      <c r="F28" s="2"/>
      <c r="G28" s="2"/>
    </row>
    <row r="29" spans="1:9" s="26" customFormat="1" ht="7.5" customHeight="1" thickBot="1" x14ac:dyDescent="0.3">
      <c r="C29" s="51"/>
      <c r="D29" s="2"/>
      <c r="E29" s="2"/>
      <c r="F29" s="2"/>
      <c r="G29" s="2"/>
    </row>
    <row r="30" spans="1:9" s="27" customFormat="1" ht="39.75" customHeight="1" x14ac:dyDescent="0.25">
      <c r="A30" s="564" t="s">
        <v>36</v>
      </c>
      <c r="B30" s="565"/>
      <c r="C30" s="62">
        <f>C31</f>
        <v>5227966.1863599997</v>
      </c>
      <c r="D30" s="2"/>
      <c r="E30" s="2"/>
      <c r="F30" s="2"/>
      <c r="H30" s="49"/>
    </row>
    <row r="31" spans="1:9" s="28" customFormat="1" ht="20.100000000000001" customHeight="1" x14ac:dyDescent="0.25">
      <c r="A31" s="441" t="s">
        <v>35</v>
      </c>
      <c r="B31" s="442"/>
      <c r="C31" s="443">
        <f>SUM(C32:C32)</f>
        <v>5227966.1863599997</v>
      </c>
      <c r="D31" s="2"/>
      <c r="E31" s="2"/>
      <c r="F31" s="2"/>
      <c r="I31" s="50"/>
    </row>
    <row r="32" spans="1:9" s="29" customFormat="1" ht="20.100000000000001" customHeight="1" x14ac:dyDescent="0.25">
      <c r="A32" s="455" t="s">
        <v>34</v>
      </c>
      <c r="B32" s="445"/>
      <c r="C32" s="446">
        <v>5227966.1863599997</v>
      </c>
      <c r="D32" s="2"/>
      <c r="E32" s="2"/>
      <c r="F32" s="2"/>
    </row>
    <row r="33" spans="1:8" s="28" customFormat="1" ht="20.100000000000001" customHeight="1" x14ac:dyDescent="0.25">
      <c r="A33" s="456" t="s">
        <v>31</v>
      </c>
      <c r="B33" s="448"/>
      <c r="C33" s="457" t="s">
        <v>28</v>
      </c>
      <c r="D33" s="2"/>
      <c r="E33" s="2"/>
      <c r="F33" s="2"/>
    </row>
    <row r="34" spans="1:8" s="28" customFormat="1" ht="20.100000000000001" customHeight="1" x14ac:dyDescent="0.25">
      <c r="A34" s="455" t="s">
        <v>38</v>
      </c>
      <c r="B34" s="448"/>
      <c r="C34" s="458" t="s">
        <v>28</v>
      </c>
      <c r="D34" s="2"/>
      <c r="E34" s="2"/>
      <c r="F34" s="2"/>
    </row>
    <row r="35" spans="1:8" s="28" customFormat="1" ht="20.100000000000001" customHeight="1" thickBot="1" x14ac:dyDescent="0.3">
      <c r="A35" s="459" t="s">
        <v>37</v>
      </c>
      <c r="B35" s="453"/>
      <c r="C35" s="460" t="s">
        <v>28</v>
      </c>
      <c r="D35" s="2"/>
      <c r="E35" s="2"/>
      <c r="F35" s="2"/>
    </row>
    <row r="36" spans="1:8" s="27" customFormat="1" x14ac:dyDescent="0.25">
      <c r="A36" s="240" t="s">
        <v>228</v>
      </c>
    </row>
    <row r="37" spans="1:8" x14ac:dyDescent="0.25">
      <c r="A37" s="14"/>
      <c r="B37" s="15"/>
      <c r="E37" s="2"/>
      <c r="F37" s="2"/>
      <c r="G37" s="2"/>
      <c r="H37" s="2"/>
    </row>
    <row r="38" spans="1:8" s="2" customFormat="1" ht="15" customHeight="1" x14ac:dyDescent="0.25">
      <c r="A38" s="5" t="s">
        <v>120</v>
      </c>
      <c r="B38" s="5"/>
    </row>
    <row r="39" spans="1:8" ht="13.8" thickBot="1" x14ac:dyDescent="0.3"/>
    <row r="40" spans="1:8" s="2" customFormat="1" ht="30.75" customHeight="1" x14ac:dyDescent="0.25">
      <c r="A40" s="462" t="s">
        <v>0</v>
      </c>
      <c r="B40" s="463" t="s">
        <v>8</v>
      </c>
      <c r="C40" s="1"/>
      <c r="D40" s="1"/>
      <c r="E40" s="1"/>
      <c r="F40" s="1"/>
      <c r="G40" s="1"/>
    </row>
    <row r="41" spans="1:8" ht="15" customHeight="1" x14ac:dyDescent="0.25">
      <c r="A41" s="71" t="s">
        <v>52</v>
      </c>
      <c r="B41" s="64">
        <v>0.38319999999999999</v>
      </c>
      <c r="D41" s="63"/>
    </row>
    <row r="42" spans="1:8" ht="15" customHeight="1" x14ac:dyDescent="0.25">
      <c r="A42" s="57" t="s">
        <v>40</v>
      </c>
      <c r="B42" s="65">
        <v>0.40570000000000001</v>
      </c>
      <c r="D42" s="63"/>
    </row>
    <row r="43" spans="1:8" ht="15" customHeight="1" x14ac:dyDescent="0.25">
      <c r="A43" s="57" t="s">
        <v>41</v>
      </c>
      <c r="B43" s="65">
        <v>0.11609999999999999</v>
      </c>
      <c r="D43" s="63"/>
    </row>
    <row r="44" spans="1:8" ht="15" customHeight="1" x14ac:dyDescent="0.25">
      <c r="A44" s="3" t="s">
        <v>42</v>
      </c>
      <c r="B44" s="65">
        <v>9.5000000000000001E-2</v>
      </c>
      <c r="D44" s="63"/>
    </row>
    <row r="45" spans="1:8" ht="15" customHeight="1" thickBot="1" x14ac:dyDescent="0.3">
      <c r="A45" s="69" t="s">
        <v>43</v>
      </c>
      <c r="B45" s="66">
        <v>0</v>
      </c>
      <c r="D45" s="63"/>
    </row>
    <row r="46" spans="1:8" ht="10.5" customHeight="1" thickBot="1" x14ac:dyDescent="0.3"/>
    <row r="47" spans="1:8" ht="15" customHeight="1" thickBot="1" x14ac:dyDescent="0.3">
      <c r="A47" s="68" t="s">
        <v>1</v>
      </c>
      <c r="B47" s="67">
        <f>SUM(B41:B45)</f>
        <v>0.99999999999999989</v>
      </c>
      <c r="D47" s="63"/>
    </row>
    <row r="48" spans="1:8" ht="20.100000000000001" customHeight="1" x14ac:dyDescent="0.25">
      <c r="A48" s="240" t="s">
        <v>118</v>
      </c>
      <c r="B48" s="17"/>
    </row>
    <row r="49" spans="1:4" x14ac:dyDescent="0.25">
      <c r="A49" s="240"/>
      <c r="B49" s="23"/>
    </row>
    <row r="50" spans="1:4" ht="14.25" customHeight="1" x14ac:dyDescent="0.25"/>
    <row r="51" spans="1:4" s="2" customFormat="1" ht="15" customHeight="1" x14ac:dyDescent="0.25">
      <c r="A51" s="5" t="s">
        <v>119</v>
      </c>
      <c r="B51" s="5"/>
    </row>
    <row r="52" spans="1:4" ht="5.0999999999999996" customHeight="1" thickBot="1" x14ac:dyDescent="0.3"/>
    <row r="53" spans="1:4" s="2" customFormat="1" ht="22.5" customHeight="1" x14ac:dyDescent="0.25">
      <c r="A53" s="568" t="s">
        <v>0</v>
      </c>
      <c r="B53" s="31" t="s">
        <v>5</v>
      </c>
      <c r="C53" s="31"/>
      <c r="D53" s="30"/>
    </row>
    <row r="54" spans="1:4" s="2" customFormat="1" ht="27" customHeight="1" x14ac:dyDescent="0.25">
      <c r="A54" s="569"/>
      <c r="B54" s="32" t="s">
        <v>6</v>
      </c>
      <c r="C54" s="32" t="s">
        <v>7</v>
      </c>
      <c r="D54" s="33" t="s">
        <v>4</v>
      </c>
    </row>
    <row r="55" spans="1:4" ht="15" customHeight="1" x14ac:dyDescent="0.25">
      <c r="A55" s="71" t="s">
        <v>52</v>
      </c>
      <c r="B55" s="20">
        <v>1</v>
      </c>
      <c r="C55" s="20">
        <f>1-B55</f>
        <v>0</v>
      </c>
      <c r="D55" s="7">
        <f>SUM(B55:C55)</f>
        <v>1</v>
      </c>
    </row>
    <row r="56" spans="1:4" ht="15" customHeight="1" x14ac:dyDescent="0.25">
      <c r="A56" s="57" t="s">
        <v>40</v>
      </c>
      <c r="B56" s="21">
        <v>0.75</v>
      </c>
      <c r="C56" s="21">
        <f>1-B56</f>
        <v>0.25</v>
      </c>
      <c r="D56" s="8">
        <f>SUM(B56:C56)</f>
        <v>1</v>
      </c>
    </row>
    <row r="57" spans="1:4" ht="15" customHeight="1" x14ac:dyDescent="0.25">
      <c r="A57" s="57" t="s">
        <v>41</v>
      </c>
      <c r="B57" s="21">
        <v>0.75</v>
      </c>
      <c r="C57" s="21">
        <f>1-B57</f>
        <v>0.25</v>
      </c>
      <c r="D57" s="8">
        <f>SUM(B57:C57)</f>
        <v>1</v>
      </c>
    </row>
    <row r="58" spans="1:4" ht="15" customHeight="1" x14ac:dyDescent="0.25">
      <c r="A58" s="3" t="s">
        <v>42</v>
      </c>
      <c r="B58" s="21">
        <v>0.75</v>
      </c>
      <c r="C58" s="21">
        <f>1-B58</f>
        <v>0.25</v>
      </c>
      <c r="D58" s="8">
        <f>SUM(B58:C58)</f>
        <v>1</v>
      </c>
    </row>
    <row r="59" spans="1:4" ht="15" customHeight="1" thickBot="1" x14ac:dyDescent="0.3">
      <c r="A59" s="69" t="s">
        <v>43</v>
      </c>
      <c r="B59" s="22">
        <v>0.75</v>
      </c>
      <c r="C59" s="22">
        <f>1-B59</f>
        <v>0.25</v>
      </c>
      <c r="D59" s="9">
        <f>SUM(B59:C59)</f>
        <v>1</v>
      </c>
    </row>
    <row r="60" spans="1:4" ht="20.100000000000001" customHeight="1" x14ac:dyDescent="0.25">
      <c r="A60" s="209" t="s">
        <v>218</v>
      </c>
      <c r="B60" s="17"/>
    </row>
    <row r="61" spans="1:4" x14ac:dyDescent="0.25">
      <c r="A61" s="209"/>
      <c r="B61" s="17"/>
    </row>
    <row r="62" spans="1:4" ht="20.100000000000001" customHeight="1" x14ac:dyDescent="0.25">
      <c r="A62" s="5" t="s">
        <v>121</v>
      </c>
      <c r="B62" s="17"/>
    </row>
    <row r="63" spans="1:4" x14ac:dyDescent="0.25">
      <c r="A63" s="16"/>
      <c r="B63" s="23"/>
    </row>
    <row r="64" spans="1:4" ht="18.75" customHeight="1" x14ac:dyDescent="0.25">
      <c r="A64" s="241" t="s">
        <v>122</v>
      </c>
      <c r="B64" s="10"/>
      <c r="C64" s="10"/>
      <c r="D64" s="10"/>
    </row>
    <row r="65" spans="1:12" ht="5.0999999999999996" customHeight="1" thickBot="1" x14ac:dyDescent="0.3">
      <c r="A65" s="241"/>
      <c r="B65" s="10"/>
      <c r="C65" s="10"/>
      <c r="D65" s="10"/>
    </row>
    <row r="66" spans="1:12" s="2" customFormat="1" ht="18.75" customHeight="1" thickBot="1" x14ac:dyDescent="0.3">
      <c r="A66" s="242" t="s">
        <v>24</v>
      </c>
      <c r="B66" s="243"/>
      <c r="C66" s="244"/>
      <c r="D66" s="244"/>
      <c r="E66" s="244"/>
      <c r="F66" s="39">
        <v>2000</v>
      </c>
    </row>
    <row r="67" spans="1:12" ht="11.25" customHeight="1" thickBot="1" x14ac:dyDescent="0.3">
      <c r="G67" s="2"/>
      <c r="H67" s="2"/>
      <c r="I67" s="2"/>
      <c r="J67" s="2"/>
      <c r="K67" s="2"/>
    </row>
    <row r="68" spans="1:12" customFormat="1" ht="21.75" customHeight="1" x14ac:dyDescent="0.25">
      <c r="A68" s="570" t="s">
        <v>3</v>
      </c>
      <c r="B68" s="31" t="s">
        <v>0</v>
      </c>
      <c r="C68" s="31"/>
      <c r="D68" s="31"/>
      <c r="E68" s="31"/>
      <c r="F68" s="30"/>
      <c r="G68" s="2"/>
      <c r="H68" s="2"/>
      <c r="I68" s="2"/>
      <c r="J68" s="2"/>
      <c r="K68" s="2"/>
    </row>
    <row r="69" spans="1:12" customFormat="1" ht="21.75" customHeight="1" x14ac:dyDescent="0.25">
      <c r="A69" s="571"/>
      <c r="B69" s="32">
        <v>0</v>
      </c>
      <c r="C69" s="32">
        <v>1</v>
      </c>
      <c r="D69" s="32">
        <v>2</v>
      </c>
      <c r="E69" s="32">
        <v>3</v>
      </c>
      <c r="F69" s="33">
        <v>4</v>
      </c>
      <c r="G69" s="2"/>
      <c r="H69" s="2"/>
      <c r="I69" s="2"/>
      <c r="J69" s="2"/>
      <c r="K69" s="2"/>
    </row>
    <row r="70" spans="1:12" customFormat="1" ht="15" customHeight="1" x14ac:dyDescent="0.25">
      <c r="A70" s="18">
        <v>1</v>
      </c>
      <c r="B70" s="40">
        <v>0.34882558720639678</v>
      </c>
      <c r="C70" s="40">
        <v>0.35199999999999998</v>
      </c>
      <c r="D70" s="40">
        <v>0.34399999999999997</v>
      </c>
      <c r="E70" s="40">
        <v>0.34699999999999998</v>
      </c>
      <c r="F70" s="41">
        <v>0.34399999999999997</v>
      </c>
      <c r="G70" s="2"/>
      <c r="H70" s="2"/>
      <c r="I70" s="2"/>
      <c r="J70" s="2"/>
      <c r="K70" s="2"/>
      <c r="L70" s="24"/>
    </row>
    <row r="71" spans="1:12" customFormat="1" ht="15" customHeight="1" x14ac:dyDescent="0.25">
      <c r="A71" s="18">
        <v>2</v>
      </c>
      <c r="B71" s="40">
        <v>0.32333833083458269</v>
      </c>
      <c r="C71" s="40">
        <v>0.33800000000000002</v>
      </c>
      <c r="D71" s="40">
        <v>0.33350000000000002</v>
      </c>
      <c r="E71" s="40">
        <v>0.34749999999999998</v>
      </c>
      <c r="F71" s="41">
        <v>0.33700000000000002</v>
      </c>
      <c r="G71" s="2"/>
      <c r="H71" s="2"/>
      <c r="I71" s="2"/>
      <c r="J71" s="2"/>
      <c r="K71" s="2"/>
      <c r="L71" s="24"/>
    </row>
    <row r="72" spans="1:12" customFormat="1" ht="15" customHeight="1" x14ac:dyDescent="0.25">
      <c r="A72" s="18">
        <v>3</v>
      </c>
      <c r="B72" s="40">
        <v>0.11344327836081959</v>
      </c>
      <c r="C72" s="40">
        <v>0.16450000000000001</v>
      </c>
      <c r="D72" s="40">
        <v>0.13450000000000001</v>
      </c>
      <c r="E72" s="40">
        <v>0.17849999999999999</v>
      </c>
      <c r="F72" s="41">
        <v>0.158</v>
      </c>
      <c r="G72" s="2"/>
      <c r="H72" s="2"/>
      <c r="I72" s="2"/>
      <c r="J72" s="2"/>
      <c r="K72" s="2"/>
      <c r="L72" s="24"/>
    </row>
    <row r="73" spans="1:12" customFormat="1" ht="15" customHeight="1" x14ac:dyDescent="0.25">
      <c r="A73" s="18">
        <v>4</v>
      </c>
      <c r="B73" s="40">
        <v>8.395802098950525E-2</v>
      </c>
      <c r="C73" s="40">
        <v>0.124</v>
      </c>
      <c r="D73" s="40">
        <v>0.17100000000000001</v>
      </c>
      <c r="E73" s="40">
        <v>6.6500000000000004E-2</v>
      </c>
      <c r="F73" s="41">
        <v>0.1235</v>
      </c>
      <c r="G73" s="2"/>
      <c r="H73" s="2"/>
      <c r="I73" s="2"/>
      <c r="J73" s="2"/>
      <c r="K73" s="2"/>
      <c r="L73" s="24"/>
    </row>
    <row r="74" spans="1:12" customFormat="1" ht="15" customHeight="1" x14ac:dyDescent="0.25">
      <c r="A74" s="18">
        <v>5</v>
      </c>
      <c r="B74" s="40">
        <v>4.9975012493753122E-4</v>
      </c>
      <c r="C74" s="40">
        <v>5.0000000000000001E-4</v>
      </c>
      <c r="D74" s="40">
        <v>5.0000000000000001E-4</v>
      </c>
      <c r="E74" s="40">
        <v>6.4999999999999997E-3</v>
      </c>
      <c r="F74" s="41">
        <v>2E-3</v>
      </c>
      <c r="G74" s="2"/>
      <c r="H74" s="2"/>
      <c r="I74" s="2"/>
      <c r="J74" s="2"/>
      <c r="K74" s="2"/>
      <c r="L74" s="24"/>
    </row>
    <row r="75" spans="1:12" customFormat="1" ht="15" customHeight="1" thickBot="1" x14ac:dyDescent="0.3">
      <c r="A75" s="19">
        <v>6</v>
      </c>
      <c r="B75" s="42">
        <v>0.12993503248375812</v>
      </c>
      <c r="C75" s="42">
        <v>2.1000000000000001E-2</v>
      </c>
      <c r="D75" s="42">
        <v>1.6500000000000001E-2</v>
      </c>
      <c r="E75" s="42">
        <v>5.3999999999999999E-2</v>
      </c>
      <c r="F75" s="43">
        <v>3.5499999999999997E-2</v>
      </c>
      <c r="G75" s="2"/>
      <c r="H75" s="2"/>
      <c r="I75" s="2"/>
      <c r="J75" s="2"/>
      <c r="K75" s="2"/>
      <c r="L75" s="24"/>
    </row>
    <row r="76" spans="1:12" customFormat="1" ht="4.5" customHeight="1" thickBot="1" x14ac:dyDescent="0.3">
      <c r="B76" s="25"/>
      <c r="C76" s="25"/>
      <c r="D76" s="25"/>
      <c r="E76" s="25"/>
      <c r="F76" s="25"/>
      <c r="G76" s="2"/>
      <c r="H76" s="2"/>
      <c r="I76" s="2"/>
      <c r="J76" s="2"/>
      <c r="K76" s="2"/>
    </row>
    <row r="77" spans="1:12" customFormat="1" ht="15" customHeight="1" thickBot="1" x14ac:dyDescent="0.3">
      <c r="A77" s="34" t="s">
        <v>1</v>
      </c>
      <c r="B77" s="35">
        <f>SUM(B70:B75)</f>
        <v>1</v>
      </c>
      <c r="C77" s="35">
        <f>SUM(C70:C75)</f>
        <v>0.99999999999999989</v>
      </c>
      <c r="D77" s="35">
        <f>SUM(D70:D75)</f>
        <v>1</v>
      </c>
      <c r="E77" s="35">
        <f>SUM(E70:E75)</f>
        <v>0.99999999999999989</v>
      </c>
      <c r="F77" s="36">
        <f>SUM(F70:F75)</f>
        <v>1.0000000000000002</v>
      </c>
      <c r="G77" s="2"/>
      <c r="H77" s="2"/>
      <c r="I77" s="2"/>
      <c r="J77" s="2"/>
      <c r="K77" s="2"/>
    </row>
    <row r="78" spans="1:12" ht="20.100000000000001" customHeight="1" x14ac:dyDescent="0.25">
      <c r="A78" s="240" t="s">
        <v>220</v>
      </c>
      <c r="B78" s="44"/>
      <c r="C78" s="45"/>
      <c r="D78" s="45"/>
      <c r="E78" s="45"/>
      <c r="F78" s="45"/>
      <c r="G78" s="2"/>
      <c r="H78" s="2"/>
      <c r="I78" s="2"/>
      <c r="J78" s="2"/>
      <c r="K78" s="2"/>
    </row>
    <row r="79" spans="1:12" x14ac:dyDescent="0.25">
      <c r="A79" s="209"/>
      <c r="B79" s="44"/>
      <c r="C79" s="45"/>
      <c r="D79" s="45"/>
      <c r="E79" s="45"/>
      <c r="F79" s="45"/>
      <c r="G79" s="2"/>
      <c r="H79" s="2"/>
      <c r="I79" s="2"/>
      <c r="J79" s="2"/>
      <c r="K79" s="2"/>
    </row>
    <row r="80" spans="1:12" ht="20.100000000000001" customHeight="1" x14ac:dyDescent="0.25">
      <c r="A80" s="241" t="s">
        <v>123</v>
      </c>
      <c r="B80" s="23"/>
    </row>
    <row r="81" spans="1:11" ht="5.0999999999999996" customHeight="1" thickBot="1" x14ac:dyDescent="0.3">
      <c r="A81" s="16"/>
      <c r="B81" s="23"/>
    </row>
    <row r="82" spans="1:11" s="2" customFormat="1" ht="15.75" customHeight="1" thickBot="1" x14ac:dyDescent="0.3">
      <c r="A82" s="242" t="s">
        <v>24</v>
      </c>
      <c r="B82" s="243"/>
      <c r="C82" s="244"/>
      <c r="D82" s="244"/>
      <c r="E82" s="244"/>
      <c r="F82" s="39">
        <f>F66</f>
        <v>2000</v>
      </c>
    </row>
    <row r="83" spans="1:11" ht="5.0999999999999996" customHeight="1" thickBot="1" x14ac:dyDescent="0.3">
      <c r="G83" s="2"/>
      <c r="H83" s="2"/>
      <c r="I83" s="2"/>
      <c r="J83" s="2"/>
      <c r="K83" s="2"/>
    </row>
    <row r="84" spans="1:11" customFormat="1" ht="18.75" customHeight="1" x14ac:dyDescent="0.25">
      <c r="A84" s="570" t="s">
        <v>3</v>
      </c>
      <c r="B84" s="31" t="s">
        <v>0</v>
      </c>
      <c r="C84" s="31"/>
      <c r="D84" s="31"/>
      <c r="E84" s="31"/>
      <c r="F84" s="30"/>
      <c r="G84" s="2"/>
      <c r="H84" s="2"/>
      <c r="I84" s="2"/>
      <c r="J84" s="2"/>
      <c r="K84" s="2"/>
    </row>
    <row r="85" spans="1:11" customFormat="1" ht="18.75" customHeight="1" x14ac:dyDescent="0.25">
      <c r="A85" s="571"/>
      <c r="B85" s="32">
        <v>0</v>
      </c>
      <c r="C85" s="32">
        <v>1</v>
      </c>
      <c r="D85" s="32">
        <v>2</v>
      </c>
      <c r="E85" s="32">
        <v>3</v>
      </c>
      <c r="F85" s="33">
        <v>4</v>
      </c>
      <c r="G85" s="2"/>
      <c r="H85" s="2"/>
      <c r="I85" s="2"/>
      <c r="J85" s="2"/>
      <c r="K85" s="2"/>
    </row>
    <row r="86" spans="1:11" customFormat="1" ht="15" customHeight="1" x14ac:dyDescent="0.25">
      <c r="A86" s="18">
        <v>1</v>
      </c>
      <c r="B86" s="40">
        <v>0.34882558720639678</v>
      </c>
      <c r="C86" s="40">
        <v>0.35199999999999998</v>
      </c>
      <c r="D86" s="40">
        <v>0.34399999999999997</v>
      </c>
      <c r="E86" s="40">
        <v>0.34699999999999998</v>
      </c>
      <c r="F86" s="41">
        <v>0.34399999999999997</v>
      </c>
      <c r="G86" s="53"/>
      <c r="H86" s="53"/>
      <c r="I86" s="53"/>
      <c r="J86" s="53"/>
      <c r="K86" s="2"/>
    </row>
    <row r="87" spans="1:11" customFormat="1" ht="15" customHeight="1" x14ac:dyDescent="0.25">
      <c r="A87" s="18">
        <v>2</v>
      </c>
      <c r="B87" s="40">
        <v>0.32333833083458269</v>
      </c>
      <c r="C87" s="40">
        <v>0.33800000000000002</v>
      </c>
      <c r="D87" s="40">
        <v>0.33350000000000002</v>
      </c>
      <c r="E87" s="40">
        <v>0.34749999999999998</v>
      </c>
      <c r="F87" s="41">
        <v>0.33700000000000002</v>
      </c>
      <c r="G87" s="2"/>
      <c r="H87" s="2"/>
      <c r="I87" s="2"/>
      <c r="J87" s="2"/>
      <c r="K87" s="2"/>
    </row>
    <row r="88" spans="1:11" customFormat="1" ht="15" customHeight="1" x14ac:dyDescent="0.25">
      <c r="A88" s="18">
        <v>3</v>
      </c>
      <c r="B88" s="40">
        <v>0.11344327836081959</v>
      </c>
      <c r="C88" s="40">
        <v>0.16450000000000001</v>
      </c>
      <c r="D88" s="40">
        <v>0.13450000000000001</v>
      </c>
      <c r="E88" s="40">
        <v>0.17849999999999999</v>
      </c>
      <c r="F88" s="41">
        <v>0.158</v>
      </c>
      <c r="G88" s="2"/>
      <c r="H88" s="2"/>
      <c r="I88" s="2"/>
      <c r="J88" s="2"/>
      <c r="K88" s="2"/>
    </row>
    <row r="89" spans="1:11" customFormat="1" ht="15" customHeight="1" x14ac:dyDescent="0.25">
      <c r="A89" s="18">
        <v>4</v>
      </c>
      <c r="B89" s="40">
        <v>8.395802098950525E-2</v>
      </c>
      <c r="C89" s="40">
        <v>0.124</v>
      </c>
      <c r="D89" s="40">
        <v>0.17100000000000001</v>
      </c>
      <c r="E89" s="40">
        <v>6.6500000000000004E-2</v>
      </c>
      <c r="F89" s="41">
        <v>0.1235</v>
      </c>
      <c r="G89" s="2"/>
      <c r="H89" s="2"/>
      <c r="I89" s="2"/>
      <c r="J89" s="2"/>
      <c r="K89" s="2"/>
    </row>
    <row r="90" spans="1:11" customFormat="1" ht="15" customHeight="1" x14ac:dyDescent="0.25">
      <c r="A90" s="18">
        <v>5</v>
      </c>
      <c r="B90" s="40">
        <v>4.9975012493753122E-4</v>
      </c>
      <c r="C90" s="40">
        <v>5.0000000000000001E-4</v>
      </c>
      <c r="D90" s="40">
        <v>5.0000000000000001E-4</v>
      </c>
      <c r="E90" s="40">
        <v>6.4999999999999997E-3</v>
      </c>
      <c r="F90" s="41">
        <v>2E-3</v>
      </c>
      <c r="G90" s="2"/>
      <c r="H90" s="2"/>
      <c r="I90" s="2"/>
      <c r="J90" s="2"/>
      <c r="K90" s="2"/>
    </row>
    <row r="91" spans="1:11" customFormat="1" ht="15" customHeight="1" thickBot="1" x14ac:dyDescent="0.3">
      <c r="A91" s="19">
        <v>6</v>
      </c>
      <c r="B91" s="42">
        <v>0.12993503248375812</v>
      </c>
      <c r="C91" s="42">
        <v>2.1000000000000001E-2</v>
      </c>
      <c r="D91" s="42">
        <v>1.6500000000000001E-2</v>
      </c>
      <c r="E91" s="42">
        <v>5.3999999999999999E-2</v>
      </c>
      <c r="F91" s="43">
        <v>3.5499999999999997E-2</v>
      </c>
      <c r="G91" s="2"/>
      <c r="H91" s="2"/>
      <c r="I91" s="2"/>
      <c r="J91" s="2"/>
      <c r="K91" s="2"/>
    </row>
    <row r="92" spans="1:11" customFormat="1" ht="5.0999999999999996" customHeight="1" thickBot="1" x14ac:dyDescent="0.3">
      <c r="B92" s="25"/>
      <c r="C92" s="25"/>
      <c r="D92" s="25"/>
      <c r="E92" s="25"/>
      <c r="F92" s="25"/>
      <c r="G92" s="2"/>
      <c r="H92" s="2"/>
      <c r="I92" s="2"/>
      <c r="J92" s="2"/>
      <c r="K92" s="2"/>
    </row>
    <row r="93" spans="1:11" customFormat="1" ht="15" customHeight="1" thickBot="1" x14ac:dyDescent="0.3">
      <c r="A93" s="34" t="s">
        <v>1</v>
      </c>
      <c r="B93" s="35">
        <f>SUM(B86:B91)</f>
        <v>1</v>
      </c>
      <c r="C93" s="35">
        <f>SUM(C86:C91)</f>
        <v>0.99999999999999989</v>
      </c>
      <c r="D93" s="35">
        <f>SUM(D86:D91)</f>
        <v>1</v>
      </c>
      <c r="E93" s="35">
        <f>SUM(E86:E91)</f>
        <v>0.99999999999999989</v>
      </c>
      <c r="F93" s="36">
        <f>SUM(F86:F91)</f>
        <v>1.0000000000000002</v>
      </c>
      <c r="G93" s="2"/>
      <c r="H93" s="2"/>
      <c r="I93" s="2"/>
      <c r="J93" s="2"/>
      <c r="K93" s="2"/>
    </row>
    <row r="94" spans="1:11" x14ac:dyDescent="0.25">
      <c r="A94" s="240" t="s">
        <v>220</v>
      </c>
      <c r="B94" s="210"/>
      <c r="G94" s="2"/>
      <c r="H94" s="2"/>
      <c r="I94" s="2"/>
      <c r="J94" s="2"/>
      <c r="K94" s="2"/>
    </row>
    <row r="95" spans="1:11" x14ac:dyDescent="0.25">
      <c r="A95" s="209"/>
      <c r="B95" s="23"/>
    </row>
    <row r="96" spans="1:11" x14ac:dyDescent="0.25">
      <c r="A96" s="16"/>
      <c r="B96" s="15"/>
    </row>
    <row r="97" spans="1:16" s="2" customFormat="1" ht="20.100000000000001" customHeight="1" x14ac:dyDescent="0.25">
      <c r="A97" s="5" t="s">
        <v>22</v>
      </c>
      <c r="B97" s="5"/>
      <c r="K97" s="1"/>
    </row>
    <row r="98" spans="1:16" ht="5.0999999999999996" customHeight="1" thickBot="1" x14ac:dyDescent="0.3">
      <c r="C98" s="323"/>
      <c r="D98" s="323"/>
      <c r="E98" s="323"/>
      <c r="F98" s="323"/>
      <c r="G98" s="323"/>
      <c r="H98" s="323"/>
      <c r="I98" s="323"/>
    </row>
    <row r="99" spans="1:16" s="2" customFormat="1" ht="20.100000000000001" customHeight="1" x14ac:dyDescent="0.25">
      <c r="A99" s="570" t="s">
        <v>54</v>
      </c>
      <c r="B99" s="566" t="s">
        <v>100</v>
      </c>
      <c r="C99" s="31" t="s">
        <v>3</v>
      </c>
      <c r="D99" s="31"/>
      <c r="E99" s="31"/>
      <c r="F99" s="31"/>
      <c r="G99" s="31"/>
      <c r="H99" s="31"/>
      <c r="I99" s="30"/>
    </row>
    <row r="100" spans="1:16" s="2" customFormat="1" ht="20.100000000000001" customHeight="1" x14ac:dyDescent="0.25">
      <c r="A100" s="571"/>
      <c r="B100" s="567"/>
      <c r="C100" s="32">
        <v>1</v>
      </c>
      <c r="D100" s="32">
        <v>2</v>
      </c>
      <c r="E100" s="32">
        <v>3</v>
      </c>
      <c r="F100" s="32">
        <v>4</v>
      </c>
      <c r="G100" s="32">
        <v>5</v>
      </c>
      <c r="H100" s="32">
        <v>6</v>
      </c>
      <c r="I100" s="33" t="s">
        <v>4</v>
      </c>
    </row>
    <row r="101" spans="1:16" ht="15" customHeight="1" x14ac:dyDescent="0.25">
      <c r="A101" s="516" t="s">
        <v>53</v>
      </c>
      <c r="B101" s="526" t="s">
        <v>211</v>
      </c>
      <c r="C101" s="527">
        <v>21827.786555285253</v>
      </c>
      <c r="D101" s="527">
        <v>18721.019001983346</v>
      </c>
      <c r="E101" s="527">
        <v>35673.903841232561</v>
      </c>
      <c r="F101" s="527"/>
      <c r="G101" s="527"/>
      <c r="H101" s="527"/>
      <c r="I101" s="528">
        <f>SUM(C101:H101)</f>
        <v>76222.70939850116</v>
      </c>
      <c r="K101" s="323"/>
      <c r="L101" s="323"/>
      <c r="M101" s="323"/>
      <c r="N101" s="323"/>
      <c r="O101" s="323"/>
      <c r="P101" s="323"/>
    </row>
    <row r="102" spans="1:16" ht="15" customHeight="1" x14ac:dyDescent="0.25">
      <c r="A102" s="519" t="s">
        <v>53</v>
      </c>
      <c r="B102" s="520" t="s">
        <v>212</v>
      </c>
      <c r="C102" s="523">
        <f>($C$101*$C$129+$D$101*$C$130+$E$101*$C$131)</f>
        <v>9074.3369827060596</v>
      </c>
      <c r="D102" s="524">
        <f>$C$101*$D$129+$D$101*$D$130+$E$101*$D$131</f>
        <v>10237.405663982725</v>
      </c>
      <c r="E102" s="524">
        <f>$C$101*$E$129+$D$101*$E$130+$E$101*$E$131</f>
        <v>7957.3440028735022</v>
      </c>
      <c r="F102" s="524">
        <f>$C$101*$F$129+$D$101*$F$130+$E$101*$F$131</f>
        <v>9412.1284186034791</v>
      </c>
      <c r="G102" s="524">
        <f>$C$101*$G$129+$D$101*$G$130+$E$101*$G$131</f>
        <v>3867.5904891028345</v>
      </c>
      <c r="H102" s="524">
        <f>$C$101*$H$129+$D$101*$H$130+$E$101*$H$131</f>
        <v>35673.903841232561</v>
      </c>
      <c r="I102" s="525">
        <f t="shared" ref="I102:I107" si="0">SUM(C102:H102)</f>
        <v>76222.70939850116</v>
      </c>
      <c r="K102" s="323"/>
      <c r="L102" s="323"/>
      <c r="M102" s="323"/>
      <c r="N102" s="323"/>
      <c r="O102" s="323"/>
      <c r="P102" s="323"/>
    </row>
    <row r="103" spans="1:16" ht="15" customHeight="1" x14ac:dyDescent="0.25">
      <c r="A103" s="6" t="s">
        <v>53</v>
      </c>
      <c r="B103" s="207" t="s">
        <v>102</v>
      </c>
      <c r="C103" s="517">
        <v>4225.0031081491998</v>
      </c>
      <c r="D103" s="332">
        <v>4712.2895603162951</v>
      </c>
      <c r="E103" s="332">
        <v>4167.3902592897857</v>
      </c>
      <c r="F103" s="332">
        <v>4811.2220319050211</v>
      </c>
      <c r="G103" s="332">
        <v>1917.529197254325</v>
      </c>
      <c r="H103" s="332">
        <v>13719.409552848416</v>
      </c>
      <c r="I103" s="11">
        <f t="shared" si="0"/>
        <v>33552.843709763045</v>
      </c>
      <c r="K103" s="323"/>
      <c r="L103" s="323"/>
      <c r="M103" s="323"/>
      <c r="N103" s="323"/>
      <c r="O103" s="323"/>
      <c r="P103" s="323"/>
    </row>
    <row r="104" spans="1:16" ht="15" customHeight="1" x14ac:dyDescent="0.25">
      <c r="A104" s="6" t="s">
        <v>40</v>
      </c>
      <c r="B104" s="207" t="s">
        <v>103</v>
      </c>
      <c r="C104" s="517">
        <v>7072.7577099391237</v>
      </c>
      <c r="D104" s="332">
        <v>8409.134726693972</v>
      </c>
      <c r="E104" s="332">
        <v>7450.6151074706777</v>
      </c>
      <c r="F104" s="332">
        <v>8977.4404744101157</v>
      </c>
      <c r="G104" s="332">
        <v>4318.1792163320279</v>
      </c>
      <c r="H104" s="332">
        <v>31001.496799615295</v>
      </c>
      <c r="I104" s="11">
        <f t="shared" si="0"/>
        <v>67229.624034461216</v>
      </c>
      <c r="K104" s="323"/>
      <c r="L104" s="323"/>
      <c r="M104" s="323"/>
      <c r="N104" s="323"/>
      <c r="O104" s="323"/>
      <c r="P104" s="323"/>
    </row>
    <row r="105" spans="1:16" ht="15" customHeight="1" x14ac:dyDescent="0.25">
      <c r="A105" s="6" t="s">
        <v>41</v>
      </c>
      <c r="B105" s="207" t="s">
        <v>104</v>
      </c>
      <c r="C105" s="517">
        <v>2126.1009989760601</v>
      </c>
      <c r="D105" s="332">
        <v>2715.5698203525453</v>
      </c>
      <c r="E105" s="332">
        <v>2316.6779178714987</v>
      </c>
      <c r="F105" s="332">
        <v>2863.7206580177299</v>
      </c>
      <c r="G105" s="332">
        <v>1481.2716546680092</v>
      </c>
      <c r="H105" s="332">
        <v>11859.907218082453</v>
      </c>
      <c r="I105" s="54">
        <f t="shared" si="0"/>
        <v>23363.248267968294</v>
      </c>
      <c r="K105" s="323"/>
      <c r="L105" s="323"/>
      <c r="M105" s="323"/>
      <c r="N105" s="323"/>
      <c r="O105" s="323"/>
      <c r="P105" s="323"/>
    </row>
    <row r="106" spans="1:16" ht="15" customHeight="1" x14ac:dyDescent="0.25">
      <c r="A106" s="6" t="s">
        <v>42</v>
      </c>
      <c r="B106" s="207" t="s">
        <v>105</v>
      </c>
      <c r="C106" s="517">
        <v>822.9621621561372</v>
      </c>
      <c r="D106" s="332">
        <v>1062.1044972929858</v>
      </c>
      <c r="E106" s="332">
        <v>955.24677742184542</v>
      </c>
      <c r="F106" s="332">
        <v>1199.6425375377989</v>
      </c>
      <c r="G106" s="332">
        <v>610.68125451277911</v>
      </c>
      <c r="H106" s="332">
        <v>5622.0325561896452</v>
      </c>
      <c r="I106" s="54">
        <f t="shared" si="0"/>
        <v>10272.669785111193</v>
      </c>
      <c r="K106" s="323"/>
      <c r="L106" s="323"/>
      <c r="M106" s="323"/>
      <c r="N106" s="323"/>
      <c r="O106" s="323"/>
      <c r="P106" s="323"/>
    </row>
    <row r="107" spans="1:16" ht="15" customHeight="1" thickBot="1" x14ac:dyDescent="0.3">
      <c r="A107" s="56" t="s">
        <v>43</v>
      </c>
      <c r="B107" s="208" t="s">
        <v>106</v>
      </c>
      <c r="C107" s="518">
        <v>1491.4016866783529</v>
      </c>
      <c r="D107" s="400">
        <v>2088.1644658090327</v>
      </c>
      <c r="E107" s="400">
        <v>1705.4999523925089</v>
      </c>
      <c r="F107" s="400">
        <v>2223.9910214558058</v>
      </c>
      <c r="G107" s="400">
        <v>1394.2459256797304</v>
      </c>
      <c r="H107" s="400">
        <v>12427.04210388687</v>
      </c>
      <c r="I107" s="55">
        <f t="shared" si="0"/>
        <v>21330.345155902301</v>
      </c>
      <c r="K107" s="323"/>
      <c r="L107" s="323"/>
      <c r="M107" s="323"/>
      <c r="N107" s="323"/>
      <c r="O107" s="323"/>
      <c r="P107" s="323"/>
    </row>
    <row r="108" spans="1:16" ht="8.25" customHeight="1" thickBot="1" x14ac:dyDescent="0.3">
      <c r="C108" s="12"/>
    </row>
    <row r="109" spans="1:16" ht="19.5" customHeight="1" thickBot="1" x14ac:dyDescent="0.3">
      <c r="A109" s="34" t="s">
        <v>1</v>
      </c>
      <c r="B109" s="59"/>
      <c r="C109" s="37">
        <f t="shared" ref="C109:I109" si="1">SUM(C102:C107)</f>
        <v>24812.562648604937</v>
      </c>
      <c r="D109" s="37">
        <f t="shared" si="1"/>
        <v>29224.668734447558</v>
      </c>
      <c r="E109" s="37">
        <f>SUM(E102:E107)</f>
        <v>24552.774017319818</v>
      </c>
      <c r="F109" s="37">
        <f t="shared" si="1"/>
        <v>29488.145141929948</v>
      </c>
      <c r="G109" s="37">
        <f t="shared" si="1"/>
        <v>13589.497737549707</v>
      </c>
      <c r="H109" s="37">
        <f t="shared" si="1"/>
        <v>110303.79207185525</v>
      </c>
      <c r="I109" s="38">
        <f t="shared" si="1"/>
        <v>231971.44035170719</v>
      </c>
    </row>
    <row r="110" spans="1:16" x14ac:dyDescent="0.25">
      <c r="A110" s="16"/>
      <c r="I110" s="47"/>
    </row>
    <row r="111" spans="1:16" s="2" customFormat="1" ht="15" customHeight="1" x14ac:dyDescent="0.25">
      <c r="A111" s="5" t="s">
        <v>23</v>
      </c>
      <c r="B111" s="5"/>
      <c r="I111" s="12"/>
      <c r="J111" s="12"/>
      <c r="K111" s="12"/>
      <c r="L111" s="12"/>
      <c r="M111" s="12"/>
      <c r="N111" s="12"/>
    </row>
    <row r="112" spans="1:16" ht="5.0999999999999996" customHeight="1" thickBot="1" x14ac:dyDescent="0.3">
      <c r="I112" s="2"/>
    </row>
    <row r="113" spans="1:16" s="2" customFormat="1" ht="20.100000000000001" customHeight="1" x14ac:dyDescent="0.25">
      <c r="A113" s="570" t="s">
        <v>54</v>
      </c>
      <c r="B113" s="566" t="s">
        <v>100</v>
      </c>
      <c r="C113" s="31" t="s">
        <v>3</v>
      </c>
      <c r="D113" s="31"/>
      <c r="E113" s="31"/>
      <c r="F113" s="31"/>
      <c r="G113" s="31"/>
      <c r="H113" s="30"/>
    </row>
    <row r="114" spans="1:16" s="2" customFormat="1" ht="20.100000000000001" customHeight="1" x14ac:dyDescent="0.25">
      <c r="A114" s="571"/>
      <c r="B114" s="567"/>
      <c r="C114" s="32">
        <v>1</v>
      </c>
      <c r="D114" s="32">
        <v>2</v>
      </c>
      <c r="E114" s="32">
        <v>3</v>
      </c>
      <c r="F114" s="32">
        <v>4</v>
      </c>
      <c r="G114" s="32">
        <v>5</v>
      </c>
      <c r="H114" s="33">
        <v>6</v>
      </c>
    </row>
    <row r="115" spans="1:16" ht="15" customHeight="1" x14ac:dyDescent="0.25">
      <c r="A115" s="6" t="s">
        <v>53</v>
      </c>
      <c r="B115" s="206" t="s">
        <v>101</v>
      </c>
      <c r="C115" s="437">
        <v>123868.7451962307</v>
      </c>
      <c r="D115" s="437">
        <v>123868.7451962307</v>
      </c>
      <c r="E115" s="437">
        <v>123868.7451962307</v>
      </c>
      <c r="F115" s="437">
        <v>123868.7451962307</v>
      </c>
      <c r="G115" s="437">
        <v>123868.7451962307</v>
      </c>
      <c r="H115" s="532">
        <v>125292.92188040356</v>
      </c>
      <c r="K115" s="323"/>
      <c r="L115" s="323"/>
      <c r="M115" s="323"/>
      <c r="N115" s="323"/>
      <c r="O115" s="323"/>
      <c r="P115" s="323"/>
    </row>
    <row r="116" spans="1:16" ht="15" customHeight="1" x14ac:dyDescent="0.25">
      <c r="A116" s="6" t="s">
        <v>53</v>
      </c>
      <c r="B116" s="207" t="s">
        <v>102</v>
      </c>
      <c r="C116" s="437">
        <v>19389.737753207937</v>
      </c>
      <c r="D116" s="437">
        <v>20345.951717988111</v>
      </c>
      <c r="E116" s="437">
        <v>20595.191869263228</v>
      </c>
      <c r="F116" s="437">
        <v>20616.369945683047</v>
      </c>
      <c r="G116" s="437">
        <v>20637.654854173154</v>
      </c>
      <c r="H116" s="533">
        <v>21170.879207872611</v>
      </c>
      <c r="K116" s="323"/>
      <c r="L116" s="323"/>
      <c r="M116" s="323"/>
      <c r="N116" s="323"/>
      <c r="O116" s="323"/>
      <c r="P116" s="323"/>
    </row>
    <row r="117" spans="1:16" ht="15" customHeight="1" x14ac:dyDescent="0.25">
      <c r="A117" s="6" t="s">
        <v>40</v>
      </c>
      <c r="B117" s="207" t="s">
        <v>103</v>
      </c>
      <c r="C117" s="437">
        <v>17012.610567571079</v>
      </c>
      <c r="D117" s="437">
        <v>17937.852627996705</v>
      </c>
      <c r="E117" s="437">
        <v>18119.653703613763</v>
      </c>
      <c r="F117" s="437">
        <v>18207.638036484248</v>
      </c>
      <c r="G117" s="437">
        <v>18480.86199657304</v>
      </c>
      <c r="H117" s="533">
        <v>25348.347837581165</v>
      </c>
      <c r="K117" s="323"/>
      <c r="L117" s="323"/>
      <c r="M117" s="323"/>
      <c r="N117" s="323"/>
      <c r="O117" s="323"/>
      <c r="P117" s="323"/>
    </row>
    <row r="118" spans="1:16" ht="15" customHeight="1" x14ac:dyDescent="0.25">
      <c r="A118" s="6" t="s">
        <v>41</v>
      </c>
      <c r="B118" s="207" t="s">
        <v>104</v>
      </c>
      <c r="C118" s="437">
        <v>3970.6963427662131</v>
      </c>
      <c r="D118" s="437">
        <v>4116.6602307452276</v>
      </c>
      <c r="E118" s="437">
        <v>4194.9984366623758</v>
      </c>
      <c r="F118" s="437">
        <v>4215.1374806962212</v>
      </c>
      <c r="G118" s="437">
        <v>4504.7950865510784</v>
      </c>
      <c r="H118" s="533">
        <v>6012.8683636396909</v>
      </c>
      <c r="K118" s="323"/>
      <c r="L118" s="323"/>
      <c r="M118" s="323"/>
      <c r="N118" s="323"/>
      <c r="O118" s="323"/>
      <c r="P118" s="323"/>
    </row>
    <row r="119" spans="1:16" ht="15" customHeight="1" x14ac:dyDescent="0.25">
      <c r="A119" s="6" t="s">
        <v>42</v>
      </c>
      <c r="B119" s="207" t="s">
        <v>105</v>
      </c>
      <c r="C119" s="437">
        <v>1787.216878125703</v>
      </c>
      <c r="D119" s="437">
        <v>1876.3155567956067</v>
      </c>
      <c r="E119" s="437">
        <v>1907.8461135755629</v>
      </c>
      <c r="F119" s="437">
        <v>1981.6688126554102</v>
      </c>
      <c r="G119" s="437">
        <v>2052.9954840015498</v>
      </c>
      <c r="H119" s="533">
        <v>2568.9208686883067</v>
      </c>
      <c r="K119" s="323"/>
      <c r="L119" s="323"/>
      <c r="M119" s="323"/>
      <c r="N119" s="323"/>
      <c r="O119" s="323"/>
      <c r="P119" s="323"/>
    </row>
    <row r="120" spans="1:16" ht="15" customHeight="1" thickBot="1" x14ac:dyDescent="0.3">
      <c r="A120" s="56" t="s">
        <v>43</v>
      </c>
      <c r="B120" s="208" t="s">
        <v>106</v>
      </c>
      <c r="C120" s="534">
        <v>3154.3169010474339</v>
      </c>
      <c r="D120" s="534">
        <v>3361.085233512777</v>
      </c>
      <c r="E120" s="534">
        <v>3588.4650417426856</v>
      </c>
      <c r="F120" s="534">
        <v>3719.961348483534</v>
      </c>
      <c r="G120" s="534">
        <v>4032.3582937780266</v>
      </c>
      <c r="H120" s="535">
        <v>5107.7704342897714</v>
      </c>
      <c r="K120" s="323"/>
      <c r="L120" s="323"/>
      <c r="M120" s="323"/>
      <c r="N120" s="323"/>
      <c r="O120" s="323"/>
      <c r="P120" s="323"/>
    </row>
    <row r="121" spans="1:16" ht="5.0999999999999996" customHeight="1" thickBot="1" x14ac:dyDescent="0.3">
      <c r="C121" s="438"/>
      <c r="D121" s="329"/>
      <c r="E121" s="329"/>
      <c r="F121" s="329"/>
      <c r="G121" s="329"/>
      <c r="H121" s="329"/>
    </row>
    <row r="122" spans="1:16" ht="15" customHeight="1" thickBot="1" x14ac:dyDescent="0.3">
      <c r="A122" s="34" t="s">
        <v>1</v>
      </c>
      <c r="B122" s="59"/>
      <c r="C122" s="439">
        <f>SUM(C115:C121)</f>
        <v>169183.32363894905</v>
      </c>
      <c r="D122" s="439">
        <f t="shared" ref="D122:H122" si="2">SUM(D115:D121)</f>
        <v>171506.61056326912</v>
      </c>
      <c r="E122" s="439">
        <f t="shared" si="2"/>
        <v>172274.90036108831</v>
      </c>
      <c r="F122" s="439">
        <f t="shared" si="2"/>
        <v>172609.52082023316</v>
      </c>
      <c r="G122" s="439">
        <f t="shared" si="2"/>
        <v>173577.41091130755</v>
      </c>
      <c r="H122" s="440">
        <f t="shared" si="2"/>
        <v>185501.7085924751</v>
      </c>
    </row>
    <row r="123" spans="1:16" x14ac:dyDescent="0.25">
      <c r="A123" s="209" t="s">
        <v>9</v>
      </c>
      <c r="B123" s="17" t="s">
        <v>219</v>
      </c>
      <c r="C123" s="13"/>
      <c r="D123" s="13"/>
      <c r="E123" s="13"/>
      <c r="F123" s="13"/>
      <c r="G123" s="13"/>
      <c r="H123" s="13"/>
    </row>
    <row r="124" spans="1:16" x14ac:dyDescent="0.25">
      <c r="A124" s="209"/>
      <c r="B124" s="15"/>
      <c r="C124" s="323"/>
      <c r="D124" s="323"/>
      <c r="E124" s="323"/>
      <c r="F124" s="323"/>
      <c r="G124" s="323"/>
      <c r="H124" s="323"/>
    </row>
    <row r="125" spans="1:16" ht="15.6" x14ac:dyDescent="0.25">
      <c r="A125" s="5" t="s">
        <v>214</v>
      </c>
      <c r="B125" s="5"/>
      <c r="C125" s="2"/>
      <c r="D125" s="2"/>
      <c r="E125" s="2"/>
      <c r="F125" s="2"/>
      <c r="G125" s="2"/>
      <c r="H125" s="2"/>
    </row>
    <row r="126" spans="1:16" ht="5.0999999999999996" customHeight="1" thickBot="1" x14ac:dyDescent="0.3">
      <c r="A126" s="5"/>
      <c r="B126" s="5"/>
      <c r="C126" s="2"/>
      <c r="D126" s="2"/>
      <c r="E126" s="2"/>
      <c r="F126" s="2"/>
      <c r="G126" s="2"/>
      <c r="H126" s="2"/>
    </row>
    <row r="127" spans="1:16" x14ac:dyDescent="0.25">
      <c r="A127" s="568" t="s">
        <v>142</v>
      </c>
      <c r="B127" s="572" t="s">
        <v>143</v>
      </c>
      <c r="C127" s="31" t="s">
        <v>3</v>
      </c>
      <c r="D127" s="31"/>
      <c r="E127" s="31"/>
      <c r="F127" s="31"/>
      <c r="G127" s="31"/>
      <c r="H127" s="30"/>
    </row>
    <row r="128" spans="1:16" x14ac:dyDescent="0.25">
      <c r="A128" s="569"/>
      <c r="B128" s="573"/>
      <c r="C128" s="32">
        <v>1</v>
      </c>
      <c r="D128" s="32">
        <v>2</v>
      </c>
      <c r="E128" s="32">
        <v>3</v>
      </c>
      <c r="F128" s="32">
        <v>4</v>
      </c>
      <c r="G128" s="32">
        <v>5</v>
      </c>
      <c r="H128" s="33">
        <v>6</v>
      </c>
    </row>
    <row r="129" spans="1:9" ht="15" customHeight="1" x14ac:dyDescent="0.25">
      <c r="A129" s="559" t="s">
        <v>101</v>
      </c>
      <c r="B129" s="327">
        <v>1</v>
      </c>
      <c r="C129" s="325">
        <v>0.37890409375671996</v>
      </c>
      <c r="D129" s="325">
        <v>0.16701165482416044</v>
      </c>
      <c r="E129" s="325">
        <v>0.22066802622644965</v>
      </c>
      <c r="F129" s="325">
        <v>0.23341622519267</v>
      </c>
      <c r="G129" s="325">
        <v>0</v>
      </c>
      <c r="H129" s="395">
        <v>0</v>
      </c>
    </row>
    <row r="130" spans="1:9" ht="15" customHeight="1" x14ac:dyDescent="0.25">
      <c r="A130" s="560"/>
      <c r="B130" s="328">
        <v>2</v>
      </c>
      <c r="C130" s="326">
        <v>4.2930318011826167E-2</v>
      </c>
      <c r="D130" s="326">
        <v>0.35211282620553996</v>
      </c>
      <c r="E130" s="326">
        <v>0.16776060248075936</v>
      </c>
      <c r="F130" s="326">
        <v>0.23060544279668274</v>
      </c>
      <c r="G130" s="326">
        <v>0.20659081050519171</v>
      </c>
      <c r="H130" s="396">
        <v>0</v>
      </c>
    </row>
    <row r="131" spans="1:9" ht="15" customHeight="1" thickBot="1" x14ac:dyDescent="0.3">
      <c r="A131" s="561"/>
      <c r="B131" s="397">
        <v>3</v>
      </c>
      <c r="C131" s="398">
        <v>0</v>
      </c>
      <c r="D131" s="398">
        <v>0</v>
      </c>
      <c r="E131" s="398">
        <v>0</v>
      </c>
      <c r="F131" s="398">
        <v>0</v>
      </c>
      <c r="G131" s="398">
        <v>0</v>
      </c>
      <c r="H131" s="399">
        <v>1</v>
      </c>
    </row>
    <row r="132" spans="1:9" x14ac:dyDescent="0.25">
      <c r="A132" s="209" t="s">
        <v>217</v>
      </c>
      <c r="B132" s="17"/>
    </row>
    <row r="134" spans="1:9" ht="15.6" x14ac:dyDescent="0.25">
      <c r="A134" s="5" t="s">
        <v>216</v>
      </c>
      <c r="B134" s="5"/>
      <c r="C134" s="2"/>
      <c r="D134" s="2"/>
      <c r="E134" s="2"/>
      <c r="F134" s="2"/>
      <c r="G134" s="2"/>
      <c r="H134" s="2"/>
    </row>
    <row r="135" spans="1:9" ht="5.0999999999999996" customHeight="1" thickBot="1" x14ac:dyDescent="0.3">
      <c r="A135" s="5"/>
      <c r="B135" s="5"/>
      <c r="C135" s="2"/>
      <c r="D135" s="2"/>
      <c r="E135" s="2"/>
      <c r="F135" s="2"/>
      <c r="G135" s="2"/>
      <c r="H135" s="2"/>
    </row>
    <row r="136" spans="1:9" x14ac:dyDescent="0.25">
      <c r="A136" s="568" t="s">
        <v>142</v>
      </c>
      <c r="B136" s="572" t="s">
        <v>143</v>
      </c>
      <c r="C136" s="31" t="s">
        <v>3</v>
      </c>
      <c r="D136" s="31"/>
      <c r="E136" s="31"/>
      <c r="F136" s="31"/>
      <c r="G136" s="31"/>
      <c r="H136" s="30"/>
    </row>
    <row r="137" spans="1:9" x14ac:dyDescent="0.25">
      <c r="A137" s="569"/>
      <c r="B137" s="573"/>
      <c r="C137" s="32">
        <v>1</v>
      </c>
      <c r="D137" s="32">
        <v>2</v>
      </c>
      <c r="E137" s="32">
        <v>3</v>
      </c>
      <c r="F137" s="32">
        <v>4</v>
      </c>
      <c r="G137" s="32">
        <v>5</v>
      </c>
      <c r="H137" s="33">
        <v>6</v>
      </c>
    </row>
    <row r="138" spans="1:9" ht="15" customHeight="1" x14ac:dyDescent="0.25">
      <c r="A138" s="559" t="s">
        <v>101</v>
      </c>
      <c r="B138" s="327">
        <v>1</v>
      </c>
      <c r="C138" s="325">
        <v>0.90496956739048651</v>
      </c>
      <c r="D138" s="325">
        <v>0.33852175110819782</v>
      </c>
      <c r="E138" s="325">
        <v>0.58664686028604529</v>
      </c>
      <c r="F138" s="325">
        <v>0.52201433926564533</v>
      </c>
      <c r="G138" s="325">
        <v>0</v>
      </c>
      <c r="H138" s="395">
        <v>0</v>
      </c>
    </row>
    <row r="139" spans="1:9" ht="15" customHeight="1" x14ac:dyDescent="0.25">
      <c r="A139" s="560"/>
      <c r="B139" s="328">
        <v>2</v>
      </c>
      <c r="C139" s="326">
        <v>9.5030432609513618E-2</v>
      </c>
      <c r="D139" s="326">
        <v>0.66147824889180229</v>
      </c>
      <c r="E139" s="326">
        <v>0.41335313971395471</v>
      </c>
      <c r="F139" s="326">
        <v>0.47798566073435472</v>
      </c>
      <c r="G139" s="326">
        <v>1</v>
      </c>
      <c r="H139" s="396">
        <v>0</v>
      </c>
    </row>
    <row r="140" spans="1:9" ht="15" customHeight="1" thickBot="1" x14ac:dyDescent="0.3">
      <c r="A140" s="561"/>
      <c r="B140" s="397">
        <v>3</v>
      </c>
      <c r="C140" s="398">
        <v>0</v>
      </c>
      <c r="D140" s="398">
        <v>0</v>
      </c>
      <c r="E140" s="398">
        <v>0</v>
      </c>
      <c r="F140" s="398">
        <v>0</v>
      </c>
      <c r="G140" s="398">
        <v>0</v>
      </c>
      <c r="H140" s="399">
        <v>1</v>
      </c>
    </row>
    <row r="141" spans="1:9" x14ac:dyDescent="0.25">
      <c r="A141" s="209" t="s">
        <v>217</v>
      </c>
      <c r="B141" s="17"/>
    </row>
    <row r="143" spans="1:9" x14ac:dyDescent="0.25">
      <c r="D143" s="330"/>
      <c r="E143" s="330"/>
    </row>
    <row r="144" spans="1:9" x14ac:dyDescent="0.25">
      <c r="C144" s="329"/>
      <c r="D144" s="329"/>
      <c r="E144" s="329"/>
      <c r="F144" s="329"/>
      <c r="G144" s="329"/>
      <c r="H144" s="329"/>
      <c r="I144" s="329"/>
    </row>
    <row r="145" spans="3:5" x14ac:dyDescent="0.25">
      <c r="C145" s="330"/>
    </row>
    <row r="146" spans="3:5" x14ac:dyDescent="0.25">
      <c r="D146" s="331"/>
      <c r="E146" s="331"/>
    </row>
    <row r="147" spans="3:5" x14ac:dyDescent="0.25">
      <c r="D147" s="331"/>
      <c r="E147" s="331"/>
    </row>
    <row r="150" spans="3:5" x14ac:dyDescent="0.25">
      <c r="D150" s="58"/>
      <c r="E150" s="329"/>
    </row>
    <row r="151" spans="3:5" x14ac:dyDescent="0.25">
      <c r="D151" s="58"/>
      <c r="E151" s="329"/>
    </row>
    <row r="152" spans="3:5" x14ac:dyDescent="0.25">
      <c r="D152" s="58"/>
      <c r="E152" s="329"/>
    </row>
    <row r="153" spans="3:5" x14ac:dyDescent="0.25">
      <c r="D153" s="58"/>
      <c r="E153" s="329"/>
    </row>
  </sheetData>
  <mergeCells count="15">
    <mergeCell ref="A138:A140"/>
    <mergeCell ref="A14:B14"/>
    <mergeCell ref="A30:B30"/>
    <mergeCell ref="B113:B114"/>
    <mergeCell ref="A53:A54"/>
    <mergeCell ref="A99:A100"/>
    <mergeCell ref="B99:B100"/>
    <mergeCell ref="A113:A114"/>
    <mergeCell ref="A68:A69"/>
    <mergeCell ref="A84:A85"/>
    <mergeCell ref="A127:A128"/>
    <mergeCell ref="B127:B128"/>
    <mergeCell ref="A129:A131"/>
    <mergeCell ref="A136:A137"/>
    <mergeCell ref="B136:B137"/>
  </mergeCells>
  <phoneticPr fontId="18" type="noConversion"/>
  <conditionalFormatting sqref="L70:L75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J72"/>
  <sheetViews>
    <sheetView showGridLines="0" topLeftCell="A40" workbookViewId="0">
      <selection activeCell="F24" sqref="F24"/>
    </sheetView>
  </sheetViews>
  <sheetFormatPr baseColWidth="10" defaultRowHeight="13.2" x14ac:dyDescent="0.25"/>
  <cols>
    <col min="1" max="1" width="21.44140625" customWidth="1"/>
    <col min="11" max="11" width="2.44140625" customWidth="1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x14ac:dyDescent="0.25"/>
    <row r="5" spans="1:10" s="1" customFormat="1" x14ac:dyDescent="0.25"/>
    <row r="6" spans="1:10" s="4" customFormat="1" ht="30" customHeight="1" x14ac:dyDescent="0.25">
      <c r="A6" s="401" t="s">
        <v>221</v>
      </c>
      <c r="B6" s="401"/>
    </row>
    <row r="7" spans="1:10" ht="5.0999999999999996" customHeight="1" x14ac:dyDescent="0.25"/>
    <row r="8" spans="1:10" s="414" customFormat="1" ht="15.6" x14ac:dyDescent="0.3">
      <c r="A8" s="419" t="s">
        <v>79</v>
      </c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3.8" thickBot="1" x14ac:dyDescent="0.3"/>
    <row r="10" spans="1:10" ht="27.75" customHeight="1" thickBot="1" x14ac:dyDescent="0.3">
      <c r="A10" s="1"/>
      <c r="B10" s="1"/>
      <c r="C10" s="468" t="s">
        <v>44</v>
      </c>
      <c r="D10" s="469"/>
      <c r="E10" s="469"/>
      <c r="F10" s="470"/>
      <c r="G10" s="1"/>
      <c r="H10" s="1"/>
      <c r="I10" s="1"/>
      <c r="J10" s="1"/>
    </row>
    <row r="11" spans="1:10" ht="27" thickBot="1" x14ac:dyDescent="0.3">
      <c r="A11" s="464" t="s">
        <v>54</v>
      </c>
      <c r="B11" s="465" t="s">
        <v>110</v>
      </c>
      <c r="C11" s="466" t="s">
        <v>73</v>
      </c>
      <c r="D11" s="466" t="s">
        <v>45</v>
      </c>
      <c r="E11" s="466" t="s">
        <v>46</v>
      </c>
      <c r="F11" s="466" t="s">
        <v>47</v>
      </c>
      <c r="G11" s="465" t="s">
        <v>48</v>
      </c>
      <c r="H11" s="465" t="s">
        <v>49</v>
      </c>
      <c r="I11" s="465" t="s">
        <v>10</v>
      </c>
      <c r="J11" s="467" t="s">
        <v>50</v>
      </c>
    </row>
    <row r="12" spans="1:10" x14ac:dyDescent="0.25">
      <c r="A12" s="471" t="s">
        <v>43</v>
      </c>
      <c r="B12" s="472">
        <v>28785.925999999992</v>
      </c>
      <c r="C12" s="472">
        <v>12503.100167419847</v>
      </c>
      <c r="D12" s="472">
        <v>6570.0284502933591</v>
      </c>
      <c r="E12" s="472">
        <v>6632.8008997689194</v>
      </c>
      <c r="F12" s="472">
        <v>0</v>
      </c>
      <c r="G12" s="472">
        <v>2552.9500000000003</v>
      </c>
      <c r="H12" s="473">
        <f>G12/$G$17</f>
        <v>7.0461233418653943E-2</v>
      </c>
      <c r="I12" s="472">
        <v>527.04686251786222</v>
      </c>
      <c r="J12" s="474">
        <f>SUM(B12:B12)/SUM(C12:G12)-1</f>
        <v>1.86506503979329E-2</v>
      </c>
    </row>
    <row r="13" spans="1:10" x14ac:dyDescent="0.25">
      <c r="A13" s="475" t="s">
        <v>42</v>
      </c>
      <c r="B13" s="476">
        <v>5185.9659999999994</v>
      </c>
      <c r="C13" s="476">
        <v>0</v>
      </c>
      <c r="D13" s="476">
        <v>5639.6661570662673</v>
      </c>
      <c r="E13" s="476">
        <v>10678.822534206498</v>
      </c>
      <c r="F13" s="476">
        <v>0</v>
      </c>
      <c r="G13" s="476">
        <v>1085.1859999999999</v>
      </c>
      <c r="H13" s="477">
        <f>G13/$G$17</f>
        <v>2.9951054289608248E-2</v>
      </c>
      <c r="I13" s="476">
        <v>285.39147614708577</v>
      </c>
      <c r="J13" s="478">
        <f>SUM(B13:B13,C17)/SUM(C13:G13)-1</f>
        <v>1.6398345821195592E-2</v>
      </c>
    </row>
    <row r="14" spans="1:10" x14ac:dyDescent="0.25">
      <c r="A14" s="475" t="s">
        <v>41</v>
      </c>
      <c r="B14" s="476">
        <v>5732.9579999999987</v>
      </c>
      <c r="C14" s="476">
        <v>0</v>
      </c>
      <c r="D14" s="476">
        <v>0</v>
      </c>
      <c r="E14" s="476">
        <v>14721.202635726244</v>
      </c>
      <c r="F14" s="476">
        <v>7.8395070531182673</v>
      </c>
      <c r="G14" s="476">
        <v>2930.7879757859941</v>
      </c>
      <c r="H14" s="477">
        <f>G14/$G$17</f>
        <v>8.0889533936207597E-2</v>
      </c>
      <c r="I14" s="476">
        <v>282.82248879427021</v>
      </c>
      <c r="J14" s="478">
        <f>SUM(B14:B14,D17)/SUM(C14:G14)-1</f>
        <v>1.6015017522560626E-2</v>
      </c>
    </row>
    <row r="15" spans="1:10" x14ac:dyDescent="0.25">
      <c r="A15" s="475" t="s">
        <v>40</v>
      </c>
      <c r="B15" s="476">
        <v>1199.2130000000016</v>
      </c>
      <c r="C15" s="476">
        <v>0</v>
      </c>
      <c r="D15" s="476">
        <v>0</v>
      </c>
      <c r="E15" s="476">
        <v>0</v>
      </c>
      <c r="F15" s="476">
        <v>23047.07616133818</v>
      </c>
      <c r="G15" s="476">
        <v>9016.7020242140043</v>
      </c>
      <c r="H15" s="477">
        <f>G15/$G$17</f>
        <v>0.24886031688618748</v>
      </c>
      <c r="I15" s="476">
        <v>1168.2604841494776</v>
      </c>
      <c r="J15" s="478">
        <f>SUM(B15:B15,E17)/SUM(C15:G15)-1</f>
        <v>3.6435534121674218E-2</v>
      </c>
    </row>
    <row r="16" spans="1:10" ht="13.8" thickBot="1" x14ac:dyDescent="0.3">
      <c r="A16" s="479" t="s">
        <v>53</v>
      </c>
      <c r="B16" s="480">
        <v>7.7470000000000132</v>
      </c>
      <c r="C16" s="480">
        <v>0</v>
      </c>
      <c r="D16" s="480">
        <v>0</v>
      </c>
      <c r="E16" s="480">
        <v>0</v>
      </c>
      <c r="F16" s="480">
        <v>0</v>
      </c>
      <c r="G16" s="480">
        <v>20646.353999999992</v>
      </c>
      <c r="H16" s="481">
        <f>G16/$G$17</f>
        <v>0.56983786146934279</v>
      </c>
      <c r="I16" s="480">
        <v>2416.3090683912983</v>
      </c>
      <c r="J16" s="482">
        <f>SUM(B16:B16,F17)/SUM(C16:G16)-1</f>
        <v>0.11703318989838629</v>
      </c>
    </row>
    <row r="17" spans="1:10" ht="13.8" thickBot="1" x14ac:dyDescent="0.3">
      <c r="A17" s="421" t="s">
        <v>4</v>
      </c>
      <c r="B17" s="483">
        <f t="shared" ref="B17:I17" si="0">SUM(B12:B16)</f>
        <v>40911.81</v>
      </c>
      <c r="C17" s="483">
        <f t="shared" si="0"/>
        <v>12503.100167419847</v>
      </c>
      <c r="D17" s="483">
        <f t="shared" si="0"/>
        <v>12209.694607359626</v>
      </c>
      <c r="E17" s="483">
        <f t="shared" si="0"/>
        <v>32032.826069701659</v>
      </c>
      <c r="F17" s="483">
        <f t="shared" si="0"/>
        <v>23054.915668391299</v>
      </c>
      <c r="G17" s="483">
        <f t="shared" si="0"/>
        <v>36231.979999999989</v>
      </c>
      <c r="H17" s="484">
        <f>SUM(H12:H16)</f>
        <v>1</v>
      </c>
      <c r="I17" s="483">
        <f t="shared" si="0"/>
        <v>4679.830379999994</v>
      </c>
      <c r="J17" s="485"/>
    </row>
    <row r="19" spans="1:10" s="414" customFormat="1" ht="15.6" x14ac:dyDescent="0.3">
      <c r="A19" s="419" t="s">
        <v>80</v>
      </c>
      <c r="B19" s="420"/>
      <c r="C19" s="420"/>
      <c r="D19" s="420"/>
      <c r="E19" s="420"/>
      <c r="F19" s="420"/>
      <c r="G19" s="420"/>
      <c r="H19" s="420"/>
      <c r="I19" s="420"/>
      <c r="J19" s="420"/>
    </row>
    <row r="20" spans="1:10" ht="13.8" thickBot="1" x14ac:dyDescent="0.3"/>
    <row r="21" spans="1:10" ht="27.75" customHeight="1" thickBot="1" x14ac:dyDescent="0.3">
      <c r="A21" s="1"/>
      <c r="B21" s="1"/>
      <c r="C21" s="468" t="s">
        <v>44</v>
      </c>
      <c r="D21" s="469"/>
      <c r="E21" s="469"/>
      <c r="F21" s="470"/>
      <c r="G21" s="1"/>
      <c r="H21" s="1"/>
      <c r="I21" s="1"/>
      <c r="J21" s="1"/>
    </row>
    <row r="22" spans="1:10" ht="27" thickBot="1" x14ac:dyDescent="0.3">
      <c r="A22" s="464" t="s">
        <v>54</v>
      </c>
      <c r="B22" s="465" t="s">
        <v>110</v>
      </c>
      <c r="C22" s="466" t="s">
        <v>73</v>
      </c>
      <c r="D22" s="466" t="s">
        <v>45</v>
      </c>
      <c r="E22" s="466" t="s">
        <v>46</v>
      </c>
      <c r="F22" s="466" t="s">
        <v>47</v>
      </c>
      <c r="G22" s="465" t="s">
        <v>48</v>
      </c>
      <c r="H22" s="465" t="s">
        <v>49</v>
      </c>
      <c r="I22" s="465" t="s">
        <v>10</v>
      </c>
      <c r="J22" s="467" t="s">
        <v>50</v>
      </c>
    </row>
    <row r="23" spans="1:10" x14ac:dyDescent="0.25">
      <c r="A23" s="471" t="s">
        <v>43</v>
      </c>
      <c r="B23" s="472">
        <v>27935.806</v>
      </c>
      <c r="C23" s="472">
        <v>11950.825076475934</v>
      </c>
      <c r="D23" s="472">
        <v>6723.6378539411462</v>
      </c>
      <c r="E23" s="472">
        <v>6860.1139984846814</v>
      </c>
      <c r="F23" s="472">
        <v>0</v>
      </c>
      <c r="G23" s="472">
        <v>2079.7189999999996</v>
      </c>
      <c r="H23" s="473">
        <f>G23/$G$28</f>
        <v>5.6094950510690786E-2</v>
      </c>
      <c r="I23" s="472">
        <v>321.50959109824311</v>
      </c>
      <c r="J23" s="474">
        <f>SUM(B23:B23)/SUM(C23:G23)-1</f>
        <v>1.1642884972552725E-2</v>
      </c>
    </row>
    <row r="24" spans="1:10" x14ac:dyDescent="0.25">
      <c r="A24" s="475" t="s">
        <v>42</v>
      </c>
      <c r="B24" s="476">
        <v>3944.7420000000002</v>
      </c>
      <c r="C24" s="476">
        <v>0</v>
      </c>
      <c r="D24" s="476">
        <v>4810.1044246928932</v>
      </c>
      <c r="E24" s="476">
        <v>9761.1606549156786</v>
      </c>
      <c r="F24" s="476">
        <v>0</v>
      </c>
      <c r="G24" s="476">
        <v>1156.6910000000003</v>
      </c>
      <c r="H24" s="477">
        <f>G24/$G$28</f>
        <v>3.1198697709239311E-2</v>
      </c>
      <c r="I24" s="476">
        <v>167.61099686736489</v>
      </c>
      <c r="J24" s="478">
        <f>SUM(B24:B24,C28)/SUM(C24:G24)-1</f>
        <v>1.0656883578449738E-2</v>
      </c>
    </row>
    <row r="25" spans="1:10" x14ac:dyDescent="0.25">
      <c r="A25" s="475" t="s">
        <v>41</v>
      </c>
      <c r="B25" s="476">
        <v>5067.5770000000102</v>
      </c>
      <c r="C25" s="476">
        <v>0</v>
      </c>
      <c r="D25" s="476">
        <v>0</v>
      </c>
      <c r="E25" s="476">
        <v>13313.621969449603</v>
      </c>
      <c r="F25" s="476">
        <v>5.9911954819302284</v>
      </c>
      <c r="G25" s="476">
        <v>3038.3143534091782</v>
      </c>
      <c r="H25" s="477">
        <f>G25/$G$28</f>
        <v>8.1950539130723601E-2</v>
      </c>
      <c r="I25" s="476">
        <v>243.39176029333598</v>
      </c>
      <c r="J25" s="478">
        <f>SUM(B25:B25,D28)/SUM(C25:G25)-1</f>
        <v>1.487913184726164E-2</v>
      </c>
    </row>
    <row r="26" spans="1:10" x14ac:dyDescent="0.25">
      <c r="A26" s="475" t="s">
        <v>40</v>
      </c>
      <c r="B26" s="476">
        <v>1860.7110009999931</v>
      </c>
      <c r="C26" s="476">
        <v>0</v>
      </c>
      <c r="D26" s="476">
        <v>0</v>
      </c>
      <c r="E26" s="476">
        <v>0</v>
      </c>
      <c r="F26" s="476">
        <v>19221.14482971808</v>
      </c>
      <c r="G26" s="476">
        <v>11616.513646590824</v>
      </c>
      <c r="H26" s="477">
        <f>G26/$G$28</f>
        <v>0.31332490500508797</v>
      </c>
      <c r="I26" s="476">
        <v>957.94880754105998</v>
      </c>
      <c r="J26" s="478">
        <f>SUM(B26:B26,E28)/SUM(C26:G26)-1</f>
        <v>3.1064263464652964E-2</v>
      </c>
    </row>
    <row r="27" spans="1:10" ht="13.8" thickBot="1" x14ac:dyDescent="0.3">
      <c r="A27" s="479" t="s">
        <v>53</v>
      </c>
      <c r="B27" s="480">
        <v>1603.0069999999928</v>
      </c>
      <c r="C27" s="480">
        <v>0</v>
      </c>
      <c r="D27" s="480">
        <v>0</v>
      </c>
      <c r="E27" s="480">
        <v>0</v>
      </c>
      <c r="F27" s="480">
        <v>0</v>
      </c>
      <c r="G27" s="480">
        <v>19183.739000000005</v>
      </c>
      <c r="H27" s="481">
        <f>G27/$G$28</f>
        <v>0.51743090764425836</v>
      </c>
      <c r="I27" s="480">
        <v>1646.4043651999923</v>
      </c>
      <c r="J27" s="482">
        <f>SUM(B27:B27,F28)/SUM(C27:G27)-1</f>
        <v>8.5822895380300857E-2</v>
      </c>
    </row>
    <row r="28" spans="1:10" ht="13.8" thickBot="1" x14ac:dyDescent="0.3">
      <c r="A28" s="421" t="s">
        <v>4</v>
      </c>
      <c r="B28" s="483">
        <f t="shared" ref="B28:I28" si="1">SUM(B23:B27)</f>
        <v>40411.843001000001</v>
      </c>
      <c r="C28" s="483">
        <f t="shared" si="1"/>
        <v>11950.825076475934</v>
      </c>
      <c r="D28" s="483">
        <f t="shared" si="1"/>
        <v>11533.742278634039</v>
      </c>
      <c r="E28" s="483">
        <f t="shared" si="1"/>
        <v>29934.896622849963</v>
      </c>
      <c r="F28" s="483">
        <f t="shared" si="1"/>
        <v>19227.136025200009</v>
      </c>
      <c r="G28" s="483">
        <f t="shared" si="1"/>
        <v>37074.977000000006</v>
      </c>
      <c r="H28" s="484">
        <f t="shared" si="1"/>
        <v>1</v>
      </c>
      <c r="I28" s="483">
        <f t="shared" si="1"/>
        <v>3336.8655209999961</v>
      </c>
      <c r="J28" s="485"/>
    </row>
    <row r="30" spans="1:10" s="414" customFormat="1" ht="15.6" x14ac:dyDescent="0.3">
      <c r="A30" s="419" t="s">
        <v>81</v>
      </c>
      <c r="B30" s="420"/>
      <c r="C30" s="420"/>
      <c r="D30" s="420"/>
      <c r="E30" s="420"/>
      <c r="F30" s="420"/>
      <c r="G30" s="420"/>
      <c r="H30" s="420"/>
      <c r="I30" s="420"/>
      <c r="J30" s="420"/>
    </row>
    <row r="31" spans="1:10" ht="13.8" thickBot="1" x14ac:dyDescent="0.3"/>
    <row r="32" spans="1:10" ht="27.75" customHeight="1" thickBot="1" x14ac:dyDescent="0.3">
      <c r="A32" s="1"/>
      <c r="B32" s="1"/>
      <c r="C32" s="468" t="s">
        <v>44</v>
      </c>
      <c r="D32" s="469"/>
      <c r="E32" s="469"/>
      <c r="F32" s="470"/>
      <c r="G32" s="1"/>
      <c r="H32" s="1"/>
      <c r="I32" s="1"/>
      <c r="J32" s="1"/>
    </row>
    <row r="33" spans="1:10" ht="27" thickBot="1" x14ac:dyDescent="0.3">
      <c r="A33" s="464" t="s">
        <v>54</v>
      </c>
      <c r="B33" s="465" t="s">
        <v>110</v>
      </c>
      <c r="C33" s="466" t="s">
        <v>73</v>
      </c>
      <c r="D33" s="466" t="s">
        <v>45</v>
      </c>
      <c r="E33" s="466" t="s">
        <v>46</v>
      </c>
      <c r="F33" s="466" t="s">
        <v>47</v>
      </c>
      <c r="G33" s="465" t="s">
        <v>48</v>
      </c>
      <c r="H33" s="465" t="s">
        <v>49</v>
      </c>
      <c r="I33" s="465" t="s">
        <v>10</v>
      </c>
      <c r="J33" s="467" t="s">
        <v>50</v>
      </c>
    </row>
    <row r="34" spans="1:10" x14ac:dyDescent="0.25">
      <c r="A34" s="471" t="s">
        <v>43</v>
      </c>
      <c r="B34" s="472">
        <v>26476.538</v>
      </c>
      <c r="C34" s="472">
        <v>11069.445718423609</v>
      </c>
      <c r="D34" s="472">
        <v>6521.7641728075851</v>
      </c>
      <c r="E34" s="472">
        <v>6481.5541249751377</v>
      </c>
      <c r="F34" s="472">
        <v>0</v>
      </c>
      <c r="G34" s="472">
        <v>2164.2779999999998</v>
      </c>
      <c r="H34" s="473">
        <f>G34/$G$39</f>
        <v>6.0721872368133319E-2</v>
      </c>
      <c r="I34" s="472">
        <v>239.97052379367008</v>
      </c>
      <c r="J34" s="474">
        <f>SUM(B34:B34)/SUM(C34:G34)-1</f>
        <v>9.1281625286012691E-3</v>
      </c>
    </row>
    <row r="35" spans="1:10" x14ac:dyDescent="0.25">
      <c r="A35" s="475" t="s">
        <v>42</v>
      </c>
      <c r="B35" s="476">
        <v>3976.5270000000005</v>
      </c>
      <c r="C35" s="476">
        <v>0</v>
      </c>
      <c r="D35" s="476">
        <v>4476.3608491037558</v>
      </c>
      <c r="E35" s="476">
        <v>9165.110558139766</v>
      </c>
      <c r="F35" s="476">
        <v>0</v>
      </c>
      <c r="G35" s="476">
        <v>1209.7810000000002</v>
      </c>
      <c r="H35" s="477">
        <f>G35/$G$39</f>
        <v>3.3942112554576034E-2</v>
      </c>
      <c r="I35" s="476">
        <v>194.72031118008908</v>
      </c>
      <c r="J35" s="478">
        <f>SUM(B35:B35,C39)/SUM(C35:G35)-1</f>
        <v>1.3111373091007072E-2</v>
      </c>
    </row>
    <row r="36" spans="1:10" x14ac:dyDescent="0.25">
      <c r="A36" s="475" t="s">
        <v>41</v>
      </c>
      <c r="B36" s="476">
        <v>4619.5819999999967</v>
      </c>
      <c r="C36" s="476">
        <v>0</v>
      </c>
      <c r="D36" s="476">
        <v>0</v>
      </c>
      <c r="E36" s="476">
        <v>12260.70817396339</v>
      </c>
      <c r="F36" s="476">
        <v>5.7743660629681486</v>
      </c>
      <c r="G36" s="476">
        <v>3101.964630986241</v>
      </c>
      <c r="H36" s="477">
        <f>G36/$G$39</f>
        <v>8.7029993565156741E-2</v>
      </c>
      <c r="I36" s="476">
        <v>249.25985089873978</v>
      </c>
      <c r="J36" s="478">
        <f>SUM(B36:B36,D39)/SUM(C36:G36)-1</f>
        <v>1.6218935337129148E-2</v>
      </c>
    </row>
    <row r="37" spans="1:10" x14ac:dyDescent="0.25">
      <c r="A37" s="475" t="s">
        <v>40</v>
      </c>
      <c r="B37" s="476">
        <v>2038.3159990000006</v>
      </c>
      <c r="C37" s="476">
        <v>0</v>
      </c>
      <c r="D37" s="476">
        <v>0</v>
      </c>
      <c r="E37" s="476">
        <v>0</v>
      </c>
      <c r="F37" s="476">
        <v>17429.619809371408</v>
      </c>
      <c r="G37" s="476">
        <v>11575.246369013759</v>
      </c>
      <c r="H37" s="477">
        <f>G37/$G$39</f>
        <v>0.32475986571454873</v>
      </c>
      <c r="I37" s="476">
        <v>940.82225769312333</v>
      </c>
      <c r="J37" s="478">
        <f>SUM(B37:B37,E39)/SUM(C37:G37)-1</f>
        <v>3.2436718442584889E-2</v>
      </c>
    </row>
    <row r="38" spans="1:10" ht="13.8" thickBot="1" x14ac:dyDescent="0.3">
      <c r="A38" s="479" t="s">
        <v>53</v>
      </c>
      <c r="B38" s="480">
        <v>1675.3819999999928</v>
      </c>
      <c r="C38" s="480">
        <v>0</v>
      </c>
      <c r="D38" s="480">
        <v>0</v>
      </c>
      <c r="E38" s="480">
        <v>0</v>
      </c>
      <c r="F38" s="480">
        <v>0</v>
      </c>
      <c r="G38" s="480">
        <v>17591.207999999999</v>
      </c>
      <c r="H38" s="481">
        <f>G38/$G$39</f>
        <v>0.49354615579758504</v>
      </c>
      <c r="I38" s="480">
        <v>1519.5395954343653</v>
      </c>
      <c r="J38" s="482">
        <f>SUM(B38:B38,F39)/SUM(C38:G38)-1</f>
        <v>8.6382252738661958E-2</v>
      </c>
    </row>
    <row r="39" spans="1:10" ht="13.8" thickBot="1" x14ac:dyDescent="0.3">
      <c r="A39" s="421" t="s">
        <v>4</v>
      </c>
      <c r="B39" s="483">
        <f t="shared" ref="B39:I39" si="2">SUM(B34:B38)</f>
        <v>38786.344998999986</v>
      </c>
      <c r="C39" s="483">
        <f t="shared" si="2"/>
        <v>11069.445718423609</v>
      </c>
      <c r="D39" s="483">
        <f t="shared" si="2"/>
        <v>10998.125021911341</v>
      </c>
      <c r="E39" s="483">
        <f t="shared" si="2"/>
        <v>27907.372857078295</v>
      </c>
      <c r="F39" s="483">
        <f t="shared" si="2"/>
        <v>17435.394175434376</v>
      </c>
      <c r="G39" s="483">
        <f t="shared" si="2"/>
        <v>35642.478000000003</v>
      </c>
      <c r="H39" s="484">
        <f t="shared" si="2"/>
        <v>1</v>
      </c>
      <c r="I39" s="483">
        <f t="shared" si="2"/>
        <v>3144.3125389999877</v>
      </c>
      <c r="J39" s="485"/>
    </row>
    <row r="41" spans="1:10" s="414" customFormat="1" ht="15.6" x14ac:dyDescent="0.3">
      <c r="A41" s="419" t="s">
        <v>82</v>
      </c>
      <c r="B41" s="420"/>
      <c r="C41" s="420"/>
      <c r="D41" s="420"/>
      <c r="E41" s="420"/>
      <c r="F41" s="420"/>
      <c r="G41" s="420"/>
      <c r="H41" s="420"/>
      <c r="I41" s="420"/>
      <c r="J41" s="420"/>
    </row>
    <row r="42" spans="1:10" ht="13.8" thickBot="1" x14ac:dyDescent="0.3"/>
    <row r="43" spans="1:10" ht="27.75" customHeight="1" thickBot="1" x14ac:dyDescent="0.3">
      <c r="A43" s="1"/>
      <c r="B43" s="1"/>
      <c r="C43" s="468" t="s">
        <v>44</v>
      </c>
      <c r="D43" s="469"/>
      <c r="E43" s="469"/>
      <c r="F43" s="470"/>
      <c r="G43" s="1"/>
      <c r="H43" s="1"/>
      <c r="I43" s="1"/>
      <c r="J43" s="1"/>
    </row>
    <row r="44" spans="1:10" ht="27" thickBot="1" x14ac:dyDescent="0.3">
      <c r="A44" s="464" t="s">
        <v>54</v>
      </c>
      <c r="B44" s="465" t="s">
        <v>110</v>
      </c>
      <c r="C44" s="466" t="s">
        <v>73</v>
      </c>
      <c r="D44" s="466" t="s">
        <v>45</v>
      </c>
      <c r="E44" s="466" t="s">
        <v>46</v>
      </c>
      <c r="F44" s="466" t="s">
        <v>47</v>
      </c>
      <c r="G44" s="465" t="s">
        <v>48</v>
      </c>
      <c r="H44" s="465" t="s">
        <v>49</v>
      </c>
      <c r="I44" s="465" t="s">
        <v>10</v>
      </c>
      <c r="J44" s="467" t="s">
        <v>50</v>
      </c>
    </row>
    <row r="45" spans="1:10" x14ac:dyDescent="0.25">
      <c r="A45" s="471" t="s">
        <v>43</v>
      </c>
      <c r="B45" s="472">
        <v>25964.804000000004</v>
      </c>
      <c r="C45" s="472">
        <v>10786.768204645548</v>
      </c>
      <c r="D45" s="472">
        <v>6372.8022537971638</v>
      </c>
      <c r="E45" s="472">
        <v>6432.8533693591153</v>
      </c>
      <c r="F45" s="472">
        <v>0</v>
      </c>
      <c r="G45" s="472">
        <v>2134.89</v>
      </c>
      <c r="H45" s="473">
        <f>G45/$G$50</f>
        <v>6.1010214893620851E-2</v>
      </c>
      <c r="I45" s="472">
        <v>237.49011219817746</v>
      </c>
      <c r="J45" s="474">
        <f>SUM(B45:B45)/SUM(C45:G45)-1</f>
        <v>9.231052016846597E-3</v>
      </c>
    </row>
    <row r="46" spans="1:10" x14ac:dyDescent="0.25">
      <c r="A46" s="475" t="s">
        <v>42</v>
      </c>
      <c r="B46" s="476">
        <v>3819.6320000000005</v>
      </c>
      <c r="C46" s="476">
        <v>0</v>
      </c>
      <c r="D46" s="476">
        <v>4276.5933326961476</v>
      </c>
      <c r="E46" s="476">
        <v>8936.2676532310543</v>
      </c>
      <c r="F46" s="476">
        <v>0</v>
      </c>
      <c r="G46" s="476">
        <v>1197.4919999999997</v>
      </c>
      <c r="H46" s="477">
        <f>G46/$G$50</f>
        <v>3.4221549706725786E-2</v>
      </c>
      <c r="I46" s="476">
        <v>196.04721871834687</v>
      </c>
      <c r="J46" s="478">
        <f>SUM(B46:B46,C50)/SUM(C46:G46)-1</f>
        <v>1.3604609055017702E-2</v>
      </c>
    </row>
    <row r="47" spans="1:10" x14ac:dyDescent="0.25">
      <c r="A47" s="475" t="s">
        <v>41</v>
      </c>
      <c r="B47" s="476">
        <v>4749.851999999999</v>
      </c>
      <c r="C47" s="476">
        <v>0</v>
      </c>
      <c r="D47" s="476">
        <v>0</v>
      </c>
      <c r="E47" s="476">
        <v>12096.754308786733</v>
      </c>
      <c r="F47" s="476">
        <v>5.6566065178181013</v>
      </c>
      <c r="G47" s="476">
        <v>3052.4075728341918</v>
      </c>
      <c r="H47" s="477">
        <f>G47/$G$50</f>
        <v>8.7230743486329365E-2</v>
      </c>
      <c r="I47" s="476">
        <v>244.42909835456695</v>
      </c>
      <c r="J47" s="478">
        <f>SUM(B47:B47,D50)/SUM(C47:G47)-1</f>
        <v>1.6128804086032122E-2</v>
      </c>
    </row>
    <row r="48" spans="1:10" x14ac:dyDescent="0.25">
      <c r="A48" s="475" t="s">
        <v>40</v>
      </c>
      <c r="B48" s="476">
        <v>1942.3370009999944</v>
      </c>
      <c r="C48" s="476">
        <v>0</v>
      </c>
      <c r="D48" s="476">
        <v>0</v>
      </c>
      <c r="E48" s="476">
        <v>0</v>
      </c>
      <c r="F48" s="476">
        <v>17246.665691578295</v>
      </c>
      <c r="G48" s="476">
        <v>11224.785427165809</v>
      </c>
      <c r="H48" s="477">
        <f>G48/$G$50</f>
        <v>0.32077838719848317</v>
      </c>
      <c r="I48" s="476">
        <v>936.76165363279415</v>
      </c>
      <c r="J48" s="478">
        <f>SUM(B48:B48,E50)/SUM(C48:G48)-1</f>
        <v>3.2901772717024658E-2</v>
      </c>
    </row>
    <row r="49" spans="1:10" ht="13.8" thickBot="1" x14ac:dyDescent="0.3">
      <c r="A49" s="479" t="s">
        <v>53</v>
      </c>
      <c r="B49" s="480">
        <v>1665.1759999999911</v>
      </c>
      <c r="C49" s="480">
        <v>0</v>
      </c>
      <c r="D49" s="480">
        <v>0</v>
      </c>
      <c r="E49" s="480">
        <v>0</v>
      </c>
      <c r="F49" s="480">
        <v>0</v>
      </c>
      <c r="G49" s="480">
        <v>17382.762000000002</v>
      </c>
      <c r="H49" s="481">
        <f>G49/$G$50</f>
        <v>0.49675910471484092</v>
      </c>
      <c r="I49" s="480">
        <v>1534.7088580961004</v>
      </c>
      <c r="J49" s="482">
        <f>SUM(B49:B49,F50)/SUM(C49:G49)-1</f>
        <v>8.8290704210073345E-2</v>
      </c>
    </row>
    <row r="50" spans="1:10" ht="13.8" thickBot="1" x14ac:dyDescent="0.3">
      <c r="A50" s="421" t="s">
        <v>4</v>
      </c>
      <c r="B50" s="483">
        <f t="shared" ref="B50:I50" si="3">SUM(B45:B49)</f>
        <v>38141.801000999985</v>
      </c>
      <c r="C50" s="483">
        <f t="shared" si="3"/>
        <v>10786.768204645548</v>
      </c>
      <c r="D50" s="483">
        <f t="shared" si="3"/>
        <v>10649.395586493312</v>
      </c>
      <c r="E50" s="483">
        <f t="shared" si="3"/>
        <v>27465.875331376905</v>
      </c>
      <c r="F50" s="483">
        <f t="shared" si="3"/>
        <v>17252.322298096115</v>
      </c>
      <c r="G50" s="483">
        <f t="shared" si="3"/>
        <v>34992.337</v>
      </c>
      <c r="H50" s="484">
        <f t="shared" si="3"/>
        <v>1</v>
      </c>
      <c r="I50" s="483">
        <f t="shared" si="3"/>
        <v>3149.4369409999858</v>
      </c>
      <c r="J50" s="485"/>
    </row>
    <row r="51" spans="1:10" x14ac:dyDescent="0.25">
      <c r="A51" s="510"/>
      <c r="B51" s="511"/>
      <c r="C51" s="511"/>
      <c r="D51" s="511"/>
      <c r="E51" s="511"/>
      <c r="F51" s="511"/>
      <c r="G51" s="511"/>
      <c r="H51" s="512"/>
      <c r="I51" s="511"/>
      <c r="J51" s="512"/>
    </row>
    <row r="52" spans="1:10" s="414" customFormat="1" ht="15.6" x14ac:dyDescent="0.3">
      <c r="A52" s="419" t="s">
        <v>83</v>
      </c>
      <c r="B52" s="420"/>
      <c r="C52" s="420"/>
      <c r="D52" s="420"/>
      <c r="E52" s="420"/>
      <c r="F52" s="420"/>
      <c r="G52" s="420"/>
      <c r="H52" s="420"/>
      <c r="I52" s="420"/>
      <c r="J52" s="420"/>
    </row>
    <row r="53" spans="1:10" ht="13.8" thickBot="1" x14ac:dyDescent="0.3"/>
    <row r="54" spans="1:10" ht="27.75" customHeight="1" thickBot="1" x14ac:dyDescent="0.3">
      <c r="A54" s="1"/>
      <c r="B54" s="1"/>
      <c r="C54" s="468" t="s">
        <v>44</v>
      </c>
      <c r="D54" s="469"/>
      <c r="E54" s="469"/>
      <c r="F54" s="470"/>
      <c r="G54" s="1"/>
      <c r="H54" s="1"/>
      <c r="I54" s="1"/>
      <c r="J54" s="1"/>
    </row>
    <row r="55" spans="1:10" ht="27" thickBot="1" x14ac:dyDescent="0.3">
      <c r="A55" s="464" t="s">
        <v>54</v>
      </c>
      <c r="B55" s="465" t="s">
        <v>110</v>
      </c>
      <c r="C55" s="466" t="s">
        <v>73</v>
      </c>
      <c r="D55" s="466" t="s">
        <v>45</v>
      </c>
      <c r="E55" s="466" t="s">
        <v>46</v>
      </c>
      <c r="F55" s="466" t="s">
        <v>47</v>
      </c>
      <c r="G55" s="465" t="s">
        <v>48</v>
      </c>
      <c r="H55" s="465" t="s">
        <v>49</v>
      </c>
      <c r="I55" s="465" t="s">
        <v>10</v>
      </c>
      <c r="J55" s="467" t="s">
        <v>50</v>
      </c>
    </row>
    <row r="56" spans="1:10" x14ac:dyDescent="0.25">
      <c r="A56" s="471" t="s">
        <v>43</v>
      </c>
      <c r="B56" s="472">
        <v>20745.277999999998</v>
      </c>
      <c r="C56" s="472">
        <v>8242.1527350738234</v>
      </c>
      <c r="D56" s="472">
        <v>4586.0427017145057</v>
      </c>
      <c r="E56" s="472">
        <v>4969.6828742659527</v>
      </c>
      <c r="F56" s="472">
        <v>0</v>
      </c>
      <c r="G56" s="472">
        <v>2704.0210000000002</v>
      </c>
      <c r="H56" s="473">
        <f>G56/$G$61</f>
        <v>8.7610157009854875E-2</v>
      </c>
      <c r="I56" s="472">
        <v>243.37892894571488</v>
      </c>
      <c r="J56" s="474">
        <f>SUM(B56:B56)/SUM(C56:G56)-1</f>
        <v>1.1871031325106918E-2</v>
      </c>
    </row>
    <row r="57" spans="1:10" x14ac:dyDescent="0.25">
      <c r="A57" s="475" t="s">
        <v>42</v>
      </c>
      <c r="B57" s="476">
        <v>4209.8540000000012</v>
      </c>
      <c r="C57" s="476">
        <v>0</v>
      </c>
      <c r="D57" s="476">
        <v>3756.4282882507209</v>
      </c>
      <c r="E57" s="476">
        <v>7288.2748496912836</v>
      </c>
      <c r="F57" s="476">
        <v>0</v>
      </c>
      <c r="G57" s="476">
        <v>1182.2130000000002</v>
      </c>
      <c r="H57" s="477">
        <f>G57/$G$61</f>
        <v>3.8303647253143211E-2</v>
      </c>
      <c r="I57" s="476">
        <v>225.09059713182057</v>
      </c>
      <c r="J57" s="478">
        <f>SUM(B57:B57,C61)/SUM(C57:G57)-1</f>
        <v>1.8409433302100542E-2</v>
      </c>
    </row>
    <row r="58" spans="1:10" x14ac:dyDescent="0.25">
      <c r="A58" s="475" t="s">
        <v>41</v>
      </c>
      <c r="B58" s="476">
        <v>5414.4539999999934</v>
      </c>
      <c r="C58" s="476">
        <v>0</v>
      </c>
      <c r="D58" s="476">
        <v>0</v>
      </c>
      <c r="E58" s="476">
        <v>10565.482315331132</v>
      </c>
      <c r="F58" s="476">
        <v>4.6871478953961976</v>
      </c>
      <c r="G58" s="476">
        <v>3019.6374586824509</v>
      </c>
      <c r="H58" s="477">
        <f>G58/$G$61</f>
        <v>9.7836115868925808E-2</v>
      </c>
      <c r="I58" s="476">
        <v>167.11806805624255</v>
      </c>
      <c r="J58" s="478">
        <f>SUM(B58:B58,D61)/SUM(C58:G58)-1</f>
        <v>1.2297309963015035E-2</v>
      </c>
    </row>
    <row r="59" spans="1:10" x14ac:dyDescent="0.25">
      <c r="A59" s="475" t="s">
        <v>40</v>
      </c>
      <c r="B59" s="476">
        <v>2071.3980010000018</v>
      </c>
      <c r="C59" s="476">
        <v>0</v>
      </c>
      <c r="D59" s="476">
        <v>0</v>
      </c>
      <c r="E59" s="476">
        <v>0</v>
      </c>
      <c r="F59" s="476">
        <v>14693.22243483929</v>
      </c>
      <c r="G59" s="476">
        <v>9389.5615413175474</v>
      </c>
      <c r="H59" s="477">
        <f>G59/$G$61</f>
        <v>0.30422136547331741</v>
      </c>
      <c r="I59" s="476">
        <v>812.0542041315291</v>
      </c>
      <c r="J59" s="478">
        <f>SUM(B59:B59,E61)/SUM(C59:G59)-1</f>
        <v>3.3719277012803195E-2</v>
      </c>
    </row>
    <row r="60" spans="1:10" ht="13.8" thickBot="1" x14ac:dyDescent="0.3">
      <c r="A60" s="479" t="s">
        <v>53</v>
      </c>
      <c r="B60" s="480">
        <v>1292.0799999999902</v>
      </c>
      <c r="C60" s="480">
        <v>0</v>
      </c>
      <c r="D60" s="480">
        <v>0</v>
      </c>
      <c r="E60" s="480">
        <v>0</v>
      </c>
      <c r="F60" s="480">
        <v>0</v>
      </c>
      <c r="G60" s="480">
        <v>14568.808000000005</v>
      </c>
      <c r="H60" s="481">
        <f>G60/$G$61</f>
        <v>0.47202871439475874</v>
      </c>
      <c r="I60" s="480">
        <v>1421.1574427346766</v>
      </c>
      <c r="J60" s="482">
        <f>SUM(B60:B60,F61)/SUM(C60:G60)-1</f>
        <v>9.7549613031805427E-2</v>
      </c>
    </row>
    <row r="61" spans="1:10" ht="13.8" thickBot="1" x14ac:dyDescent="0.3">
      <c r="A61" s="421" t="s">
        <v>4</v>
      </c>
      <c r="B61" s="483">
        <f t="shared" ref="B61:I61" si="4">SUM(B56:B60)</f>
        <v>33733.064000999984</v>
      </c>
      <c r="C61" s="483">
        <f t="shared" si="4"/>
        <v>8242.1527350738234</v>
      </c>
      <c r="D61" s="483">
        <f t="shared" si="4"/>
        <v>8342.4709899652262</v>
      </c>
      <c r="E61" s="483">
        <f t="shared" si="4"/>
        <v>22823.440039288369</v>
      </c>
      <c r="F61" s="483">
        <f t="shared" si="4"/>
        <v>14697.909582734686</v>
      </c>
      <c r="G61" s="483">
        <f t="shared" si="4"/>
        <v>30864.241000000002</v>
      </c>
      <c r="H61" s="484">
        <f t="shared" si="4"/>
        <v>1</v>
      </c>
      <c r="I61" s="483">
        <f t="shared" si="4"/>
        <v>2868.7992409999833</v>
      </c>
      <c r="J61" s="485"/>
    </row>
    <row r="63" spans="1:10" s="414" customFormat="1" ht="15.6" x14ac:dyDescent="0.3">
      <c r="A63" s="419" t="s">
        <v>84</v>
      </c>
      <c r="B63" s="420"/>
      <c r="C63" s="420"/>
      <c r="D63" s="420"/>
      <c r="E63" s="420"/>
      <c r="F63" s="420"/>
      <c r="G63" s="420"/>
      <c r="H63" s="420"/>
      <c r="I63" s="420"/>
      <c r="J63" s="420"/>
    </row>
    <row r="64" spans="1:10" ht="13.8" thickBot="1" x14ac:dyDescent="0.3"/>
    <row r="65" spans="1:10" ht="27.75" customHeight="1" thickBot="1" x14ac:dyDescent="0.3">
      <c r="A65" s="1"/>
      <c r="B65" s="1"/>
      <c r="C65" s="468" t="s">
        <v>44</v>
      </c>
      <c r="D65" s="469"/>
      <c r="E65" s="469"/>
      <c r="F65" s="470"/>
      <c r="G65" s="1"/>
      <c r="H65" s="1"/>
      <c r="I65" s="1"/>
      <c r="J65" s="1"/>
    </row>
    <row r="66" spans="1:10" ht="27" thickBot="1" x14ac:dyDescent="0.3">
      <c r="A66" s="464" t="s">
        <v>54</v>
      </c>
      <c r="B66" s="465" t="s">
        <v>110</v>
      </c>
      <c r="C66" s="466" t="s">
        <v>73</v>
      </c>
      <c r="D66" s="466" t="s">
        <v>45</v>
      </c>
      <c r="E66" s="466" t="s">
        <v>46</v>
      </c>
      <c r="F66" s="466" t="s">
        <v>47</v>
      </c>
      <c r="G66" s="465" t="s">
        <v>48</v>
      </c>
      <c r="H66" s="465" t="s">
        <v>49</v>
      </c>
      <c r="I66" s="465" t="s">
        <v>10</v>
      </c>
      <c r="J66" s="467" t="s">
        <v>50</v>
      </c>
    </row>
    <row r="67" spans="1:10" x14ac:dyDescent="0.25">
      <c r="A67" s="471" t="s">
        <v>43</v>
      </c>
      <c r="B67" s="472">
        <v>25137.069</v>
      </c>
      <c r="C67" s="472">
        <v>10961.678112180074</v>
      </c>
      <c r="D67" s="472">
        <v>5119.2189520034299</v>
      </c>
      <c r="E67" s="472">
        <v>5538.6557067303138</v>
      </c>
      <c r="F67" s="472">
        <v>0</v>
      </c>
      <c r="G67" s="472">
        <v>3084.3770000000004</v>
      </c>
      <c r="H67" s="473">
        <f>G67/$G$72</f>
        <v>9.6983270795573756E-2</v>
      </c>
      <c r="I67" s="472">
        <v>433.13946908618044</v>
      </c>
      <c r="J67" s="474">
        <f>SUM(B67:B67)/SUM(C67:G67)-1</f>
        <v>1.753321164295718E-2</v>
      </c>
    </row>
    <row r="68" spans="1:10" x14ac:dyDescent="0.25">
      <c r="A68" s="475" t="s">
        <v>42</v>
      </c>
      <c r="B68" s="476">
        <v>4101.4629999999988</v>
      </c>
      <c r="C68" s="476">
        <v>0</v>
      </c>
      <c r="D68" s="476">
        <v>4684.9242075536031</v>
      </c>
      <c r="E68" s="476">
        <v>9047.068725416746</v>
      </c>
      <c r="F68" s="476">
        <v>0</v>
      </c>
      <c r="G68" s="476">
        <v>1109.7449999999999</v>
      </c>
      <c r="H68" s="477">
        <f>G68/$G$72</f>
        <v>3.489414551108181E-2</v>
      </c>
      <c r="I68" s="476">
        <v>221.40317920972666</v>
      </c>
      <c r="J68" s="478">
        <f>SUM(B68:B68,C72)/SUM(C68:G68)-1</f>
        <v>1.4917604677406882E-2</v>
      </c>
    </row>
    <row r="69" spans="1:10" x14ac:dyDescent="0.25">
      <c r="A69" s="475" t="s">
        <v>41</v>
      </c>
      <c r="B69" s="476">
        <v>5429.3030000000008</v>
      </c>
      <c r="C69" s="476">
        <v>0</v>
      </c>
      <c r="D69" s="476">
        <v>0</v>
      </c>
      <c r="E69" s="476">
        <v>12679.820352721663</v>
      </c>
      <c r="F69" s="476">
        <v>7.8859066769599071</v>
      </c>
      <c r="G69" s="476">
        <v>2288.8947857637022</v>
      </c>
      <c r="H69" s="477">
        <f>G69/$G$72</f>
        <v>7.1970612811046733E-2</v>
      </c>
      <c r="I69" s="476">
        <v>256.84511439470896</v>
      </c>
      <c r="J69" s="478">
        <f>SUM(B69:B69,D72)/SUM(C69:G69)-1</f>
        <v>1.7149760057050489E-2</v>
      </c>
    </row>
    <row r="70" spans="1:10" x14ac:dyDescent="0.25">
      <c r="A70" s="475" t="s">
        <v>40</v>
      </c>
      <c r="B70" s="476">
        <v>1134.7269990000009</v>
      </c>
      <c r="C70" s="476">
        <v>0</v>
      </c>
      <c r="D70" s="476">
        <v>0</v>
      </c>
      <c r="E70" s="476">
        <v>0</v>
      </c>
      <c r="F70" s="476">
        <v>20655.963636695997</v>
      </c>
      <c r="G70" s="476">
        <v>6789.0232142362984</v>
      </c>
      <c r="H70" s="477">
        <f>G70/$G$72</f>
        <v>0.21346990877694763</v>
      </c>
      <c r="I70" s="476">
        <v>955.28449293641881</v>
      </c>
      <c r="J70" s="478">
        <f>SUM(B70:B70,E72)/SUM(C70:G70)-1</f>
        <v>3.4807265098178775E-2</v>
      </c>
    </row>
    <row r="71" spans="1:10" ht="13.8" thickBot="1" x14ac:dyDescent="0.3">
      <c r="A71" s="479" t="s">
        <v>53</v>
      </c>
      <c r="B71" s="480">
        <v>5.5280000000000218</v>
      </c>
      <c r="C71" s="480">
        <v>0</v>
      </c>
      <c r="D71" s="480">
        <v>0</v>
      </c>
      <c r="E71" s="480">
        <v>0</v>
      </c>
      <c r="F71" s="480">
        <v>0</v>
      </c>
      <c r="G71" s="480">
        <v>18531.146000000001</v>
      </c>
      <c r="H71" s="481">
        <f>G71/$G$72</f>
        <v>0.58268206210535012</v>
      </c>
      <c r="I71" s="480">
        <v>2138.2219833729632</v>
      </c>
      <c r="J71" s="482">
        <f>SUM(B71:B71,F72)/SUM(C71:G71)-1</f>
        <v>0.115385823595203</v>
      </c>
    </row>
    <row r="72" spans="1:10" ht="13.8" thickBot="1" x14ac:dyDescent="0.3">
      <c r="A72" s="421" t="s">
        <v>4</v>
      </c>
      <c r="B72" s="483">
        <f t="shared" ref="B72:I72" si="5">SUM(B67:B71)</f>
        <v>35808.089998999996</v>
      </c>
      <c r="C72" s="483">
        <f t="shared" si="5"/>
        <v>10961.678112180074</v>
      </c>
      <c r="D72" s="483">
        <f t="shared" si="5"/>
        <v>9804.143159557032</v>
      </c>
      <c r="E72" s="483">
        <f t="shared" si="5"/>
        <v>27265.544784868725</v>
      </c>
      <c r="F72" s="483">
        <f t="shared" si="5"/>
        <v>20663.849543372955</v>
      </c>
      <c r="G72" s="483">
        <f t="shared" si="5"/>
        <v>31803.186000000002</v>
      </c>
      <c r="H72" s="484">
        <f t="shared" si="5"/>
        <v>1</v>
      </c>
      <c r="I72" s="483">
        <f t="shared" si="5"/>
        <v>4004.8942389999984</v>
      </c>
      <c r="J72" s="485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6:J72"/>
  <sheetViews>
    <sheetView showGridLines="0" topLeftCell="A40" workbookViewId="0">
      <selection activeCell="N29" sqref="N29"/>
    </sheetView>
  </sheetViews>
  <sheetFormatPr baseColWidth="10" defaultRowHeight="13.2" x14ac:dyDescent="0.25"/>
  <cols>
    <col min="1" max="1" width="21.44140625" customWidth="1"/>
    <col min="11" max="11" width="2.6640625" customWidth="1"/>
  </cols>
  <sheetData>
    <row r="6" spans="1:10" s="4" customFormat="1" ht="30" customHeight="1" x14ac:dyDescent="0.25">
      <c r="A6" s="401" t="s">
        <v>222</v>
      </c>
      <c r="B6" s="401"/>
    </row>
    <row r="7" spans="1:10" ht="5.0999999999999996" customHeight="1" x14ac:dyDescent="0.25"/>
    <row r="8" spans="1:10" s="414" customFormat="1" ht="15.6" x14ac:dyDescent="0.3">
      <c r="A8" s="419" t="s">
        <v>51</v>
      </c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3.8" thickBot="1" x14ac:dyDescent="0.3"/>
    <row r="10" spans="1:10" ht="27.75" customHeight="1" thickBot="1" x14ac:dyDescent="0.3">
      <c r="A10" s="1"/>
      <c r="B10" s="1"/>
      <c r="C10" s="468" t="s">
        <v>44</v>
      </c>
      <c r="D10" s="469"/>
      <c r="E10" s="469"/>
      <c r="F10" s="470"/>
      <c r="G10" s="1"/>
      <c r="H10" s="1"/>
      <c r="I10" s="1"/>
      <c r="J10" s="1"/>
    </row>
    <row r="11" spans="1:10" ht="27" thickBot="1" x14ac:dyDescent="0.3">
      <c r="A11" s="464" t="s">
        <v>54</v>
      </c>
      <c r="B11" s="465" t="s">
        <v>110</v>
      </c>
      <c r="C11" s="466" t="s">
        <v>73</v>
      </c>
      <c r="D11" s="466" t="s">
        <v>45</v>
      </c>
      <c r="E11" s="466" t="s">
        <v>46</v>
      </c>
      <c r="F11" s="466" t="s">
        <v>47</v>
      </c>
      <c r="G11" s="465" t="s">
        <v>48</v>
      </c>
      <c r="H11" s="465" t="s">
        <v>49</v>
      </c>
      <c r="I11" s="465" t="s">
        <v>10</v>
      </c>
      <c r="J11" s="467" t="s">
        <v>50</v>
      </c>
    </row>
    <row r="12" spans="1:10" x14ac:dyDescent="0.25">
      <c r="A12" s="471" t="s">
        <v>43</v>
      </c>
      <c r="B12" s="472">
        <v>19164702.369068947</v>
      </c>
      <c r="C12" s="472">
        <v>8083536.4196980558</v>
      </c>
      <c r="D12" s="472">
        <v>4472712.8104477888</v>
      </c>
      <c r="E12" s="472">
        <v>4412791.3721429529</v>
      </c>
      <c r="F12" s="472">
        <v>0</v>
      </c>
      <c r="G12" s="472">
        <v>1746361.264</v>
      </c>
      <c r="H12" s="473">
        <f>G12/$G$17</f>
        <v>6.9553855378692409E-2</v>
      </c>
      <c r="I12" s="472">
        <v>449300.5029830141</v>
      </c>
      <c r="J12" s="474">
        <f>SUM(B12:B12)/SUM(C12:G12)-1</f>
        <v>2.4006991994623084E-2</v>
      </c>
    </row>
    <row r="13" spans="1:10" x14ac:dyDescent="0.25">
      <c r="A13" s="475" t="s">
        <v>42</v>
      </c>
      <c r="B13" s="476">
        <v>3162827.9691084977</v>
      </c>
      <c r="C13" s="476">
        <v>0</v>
      </c>
      <c r="D13" s="476">
        <v>3392878.0297836955</v>
      </c>
      <c r="E13" s="476">
        <v>6857094.8026632546</v>
      </c>
      <c r="F13" s="476">
        <v>0</v>
      </c>
      <c r="G13" s="476">
        <v>850082.50299999991</v>
      </c>
      <c r="H13" s="477">
        <f>G13/$G$17</f>
        <v>3.3856978331156376E-2</v>
      </c>
      <c r="I13" s="476">
        <v>146309.05315673491</v>
      </c>
      <c r="J13" s="478">
        <f>SUM(B13:B13,C17)/SUM(C13:G13)-1</f>
        <v>1.3180930088914078E-2</v>
      </c>
    </row>
    <row r="14" spans="1:10" x14ac:dyDescent="0.25">
      <c r="A14" s="475" t="s">
        <v>41</v>
      </c>
      <c r="B14" s="476">
        <v>4002840.38745532</v>
      </c>
      <c r="C14" s="476">
        <v>0</v>
      </c>
      <c r="D14" s="476">
        <v>0</v>
      </c>
      <c r="E14" s="476">
        <v>9497827.876932025</v>
      </c>
      <c r="F14" s="476">
        <v>3030.0652442052246</v>
      </c>
      <c r="G14" s="476">
        <v>2195365.2932669683</v>
      </c>
      <c r="H14" s="477">
        <f>G14/$G$17</f>
        <v>8.7436731024109218E-2</v>
      </c>
      <c r="I14" s="476">
        <v>172207.99224360558</v>
      </c>
      <c r="J14" s="478">
        <f>SUM(B14:B14,D17)/SUM(C14:G14)-1</f>
        <v>1.4723384529953254E-2</v>
      </c>
    </row>
    <row r="15" spans="1:10" x14ac:dyDescent="0.25">
      <c r="A15" s="475" t="s">
        <v>40</v>
      </c>
      <c r="B15" s="476">
        <v>1067593.804598212</v>
      </c>
      <c r="C15" s="476">
        <v>0</v>
      </c>
      <c r="D15" s="476">
        <v>0</v>
      </c>
      <c r="E15" s="476">
        <v>0</v>
      </c>
      <c r="F15" s="476">
        <v>13705575.247059889</v>
      </c>
      <c r="G15" s="476">
        <v>7426941.3817330301</v>
      </c>
      <c r="H15" s="477">
        <f>G15/$G$17</f>
        <v>0.2957992812941167</v>
      </c>
      <c r="I15" s="476">
        <v>702791.22754352412</v>
      </c>
      <c r="J15" s="478">
        <f>SUM(B15:B15,E17)/SUM(C15:G15)-1</f>
        <v>3.3256390608299657E-2</v>
      </c>
    </row>
    <row r="16" spans="1:10" ht="13.8" thickBot="1" x14ac:dyDescent="0.3">
      <c r="A16" s="479" t="s">
        <v>53</v>
      </c>
      <c r="B16" s="480">
        <v>467893.08501209563</v>
      </c>
      <c r="C16" s="480">
        <v>0</v>
      </c>
      <c r="D16" s="480">
        <v>0</v>
      </c>
      <c r="E16" s="480">
        <v>0</v>
      </c>
      <c r="F16" s="480">
        <v>0</v>
      </c>
      <c r="G16" s="480">
        <v>12889293.597999999</v>
      </c>
      <c r="H16" s="481">
        <f>G16/$G$17</f>
        <v>0.51335315397192527</v>
      </c>
      <c r="I16" s="480">
        <v>1287204.7995190597</v>
      </c>
      <c r="J16" s="482">
        <f>SUM(B16:B16,F17)/SUM(C16:G16)-1</f>
        <v>9.986620209473096E-2</v>
      </c>
    </row>
    <row r="17" spans="1:10" ht="13.8" thickBot="1" x14ac:dyDescent="0.3">
      <c r="A17" s="421" t="s">
        <v>4</v>
      </c>
      <c r="B17" s="483">
        <f t="shared" ref="B17:I17" si="0">SUM(B12:B16)</f>
        <v>27865857.615243074</v>
      </c>
      <c r="C17" s="483">
        <f t="shared" si="0"/>
        <v>8083536.4196980558</v>
      </c>
      <c r="D17" s="483">
        <f t="shared" si="0"/>
        <v>7865590.8402314838</v>
      </c>
      <c r="E17" s="483">
        <f t="shared" si="0"/>
        <v>20767714.051738232</v>
      </c>
      <c r="F17" s="483">
        <f t="shared" si="0"/>
        <v>13708605.312304094</v>
      </c>
      <c r="G17" s="483">
        <f t="shared" si="0"/>
        <v>25108044.039999999</v>
      </c>
      <c r="H17" s="484">
        <f>SUM(H12:H16)</f>
        <v>1</v>
      </c>
      <c r="I17" s="483">
        <f t="shared" si="0"/>
        <v>2757813.5754459384</v>
      </c>
      <c r="J17" s="485"/>
    </row>
    <row r="19" spans="1:10" s="414" customFormat="1" ht="15.6" x14ac:dyDescent="0.3">
      <c r="A19" s="419" t="s">
        <v>74</v>
      </c>
      <c r="B19" s="420"/>
      <c r="C19" s="420"/>
      <c r="D19" s="420"/>
      <c r="E19" s="420"/>
      <c r="F19" s="420"/>
      <c r="G19" s="420"/>
      <c r="H19" s="420"/>
      <c r="I19" s="420"/>
      <c r="J19" s="420"/>
    </row>
    <row r="20" spans="1:10" ht="13.8" thickBot="1" x14ac:dyDescent="0.3"/>
    <row r="21" spans="1:10" ht="27.75" customHeight="1" thickBot="1" x14ac:dyDescent="0.3">
      <c r="A21" s="1"/>
      <c r="B21" s="1"/>
      <c r="C21" s="468" t="s">
        <v>44</v>
      </c>
      <c r="D21" s="469"/>
      <c r="E21" s="469"/>
      <c r="F21" s="470"/>
      <c r="G21" s="1"/>
      <c r="H21" s="1"/>
      <c r="I21" s="1"/>
      <c r="J21" s="1"/>
    </row>
    <row r="22" spans="1:10" ht="27" thickBot="1" x14ac:dyDescent="0.3">
      <c r="A22" s="464" t="s">
        <v>54</v>
      </c>
      <c r="B22" s="465" t="s">
        <v>110</v>
      </c>
      <c r="C22" s="466" t="s">
        <v>73</v>
      </c>
      <c r="D22" s="466" t="s">
        <v>45</v>
      </c>
      <c r="E22" s="466" t="s">
        <v>46</v>
      </c>
      <c r="F22" s="466" t="s">
        <v>47</v>
      </c>
      <c r="G22" s="465" t="s">
        <v>48</v>
      </c>
      <c r="H22" s="465" t="s">
        <v>49</v>
      </c>
      <c r="I22" s="465" t="s">
        <v>10</v>
      </c>
      <c r="J22" s="467" t="s">
        <v>50</v>
      </c>
    </row>
    <row r="23" spans="1:10" x14ac:dyDescent="0.25">
      <c r="A23" s="471" t="s">
        <v>43</v>
      </c>
      <c r="B23" s="472">
        <v>22178688.297233935</v>
      </c>
      <c r="C23" s="472">
        <v>9258507.0139530227</v>
      </c>
      <c r="D23" s="472">
        <v>5098015.071468004</v>
      </c>
      <c r="E23" s="472">
        <v>5089648.2166547962</v>
      </c>
      <c r="F23" s="472">
        <v>0</v>
      </c>
      <c r="G23" s="472">
        <v>2308637.9908254701</v>
      </c>
      <c r="H23" s="473">
        <f>G23/$G$28</f>
        <v>7.7475044259567319E-2</v>
      </c>
      <c r="I23" s="472">
        <v>423880.00414789288</v>
      </c>
      <c r="J23" s="474">
        <f>SUM(B23:B23)/SUM(C23:G23)-1</f>
        <v>1.9484428390525332E-2</v>
      </c>
    </row>
    <row r="24" spans="1:10" x14ac:dyDescent="0.25">
      <c r="A24" s="475" t="s">
        <v>42</v>
      </c>
      <c r="B24" s="476">
        <v>3896471.7875771732</v>
      </c>
      <c r="C24" s="476">
        <v>0</v>
      </c>
      <c r="D24" s="476">
        <v>3958473.0031803949</v>
      </c>
      <c r="E24" s="476">
        <v>7926729.3625330152</v>
      </c>
      <c r="F24" s="476">
        <v>0</v>
      </c>
      <c r="G24" s="476">
        <v>1095620.0676812606</v>
      </c>
      <c r="H24" s="477">
        <f>G24/$G$28</f>
        <v>3.6767658495009521E-2</v>
      </c>
      <c r="I24" s="476">
        <v>174156.36832027676</v>
      </c>
      <c r="J24" s="478">
        <f>SUM(B24:B24,C28)/SUM(C24:G24)-1</f>
        <v>1.3416435594056697E-2</v>
      </c>
    </row>
    <row r="25" spans="1:10" x14ac:dyDescent="0.25">
      <c r="A25" s="475" t="s">
        <v>41</v>
      </c>
      <c r="B25" s="476">
        <v>4954759.2467335705</v>
      </c>
      <c r="C25" s="476">
        <v>0</v>
      </c>
      <c r="D25" s="476">
        <v>0</v>
      </c>
      <c r="E25" s="476">
        <v>11021568.405992841</v>
      </c>
      <c r="F25" s="476">
        <v>3556.1003438926318</v>
      </c>
      <c r="G25" s="476">
        <v>2777187.5999035775</v>
      </c>
      <c r="H25" s="477">
        <f>G25/$G$28</f>
        <v>9.3198991385703658E-2</v>
      </c>
      <c r="I25" s="476">
        <v>208935.21514165978</v>
      </c>
      <c r="J25" s="478">
        <f>SUM(B25:B25,D28)/SUM(C25:G25)-1</f>
        <v>1.5137696752067553E-2</v>
      </c>
    </row>
    <row r="26" spans="1:10" x14ac:dyDescent="0.25">
      <c r="A26" s="475" t="s">
        <v>40</v>
      </c>
      <c r="B26" s="476">
        <v>1335819.5128431786</v>
      </c>
      <c r="C26" s="476">
        <v>0</v>
      </c>
      <c r="D26" s="476">
        <v>0</v>
      </c>
      <c r="E26" s="476">
        <v>0</v>
      </c>
      <c r="F26" s="476">
        <v>15776050.497559784</v>
      </c>
      <c r="G26" s="476">
        <v>8770225.1794646438</v>
      </c>
      <c r="H26" s="477">
        <f>G26/$G$28</f>
        <v>0.29431794272017692</v>
      </c>
      <c r="I26" s="476">
        <v>827489.82100940612</v>
      </c>
      <c r="J26" s="478">
        <f>SUM(B26:B26,E28)/SUM(C26:G26)-1</f>
        <v>3.3711420497649636E-2</v>
      </c>
    </row>
    <row r="27" spans="1:10" ht="13.8" thickBot="1" x14ac:dyDescent="0.3">
      <c r="A27" s="479" t="s">
        <v>53</v>
      </c>
      <c r="B27" s="480">
        <v>558633.97844565928</v>
      </c>
      <c r="C27" s="480">
        <v>0</v>
      </c>
      <c r="D27" s="480">
        <v>0</v>
      </c>
      <c r="E27" s="480">
        <v>0</v>
      </c>
      <c r="F27" s="480">
        <v>0</v>
      </c>
      <c r="G27" s="480">
        <v>14846801.855999999</v>
      </c>
      <c r="H27" s="481">
        <f>G27/$G$28</f>
        <v>0.49824036313954256</v>
      </c>
      <c r="I27" s="480">
        <v>1491438.720164584</v>
      </c>
      <c r="J27" s="482">
        <f>SUM(B27:B27,F28)/SUM(C27:G27)-1</f>
        <v>0.10045521822240833</v>
      </c>
    </row>
    <row r="28" spans="1:10" ht="13.8" thickBot="1" x14ac:dyDescent="0.3">
      <c r="A28" s="421" t="s">
        <v>4</v>
      </c>
      <c r="B28" s="483">
        <f t="shared" ref="B28:I28" si="1">SUM(B23:B27)</f>
        <v>32924372.822833519</v>
      </c>
      <c r="C28" s="483">
        <f t="shared" si="1"/>
        <v>9258507.0139530227</v>
      </c>
      <c r="D28" s="483">
        <f t="shared" si="1"/>
        <v>9056488.0746483989</v>
      </c>
      <c r="E28" s="483">
        <f t="shared" si="1"/>
        <v>24037945.985180654</v>
      </c>
      <c r="F28" s="483">
        <f t="shared" si="1"/>
        <v>15779606.597903676</v>
      </c>
      <c r="G28" s="483">
        <f t="shared" si="1"/>
        <v>29798472.693874951</v>
      </c>
      <c r="H28" s="484">
        <f t="shared" si="1"/>
        <v>1</v>
      </c>
      <c r="I28" s="483">
        <f t="shared" si="1"/>
        <v>3125900.1287838193</v>
      </c>
      <c r="J28" s="485"/>
    </row>
    <row r="30" spans="1:10" s="414" customFormat="1" ht="15.6" x14ac:dyDescent="0.3">
      <c r="A30" s="419" t="s">
        <v>75</v>
      </c>
      <c r="B30" s="420"/>
      <c r="C30" s="420"/>
      <c r="D30" s="420"/>
      <c r="E30" s="420"/>
      <c r="F30" s="420"/>
      <c r="G30" s="420"/>
      <c r="H30" s="420"/>
      <c r="I30" s="420"/>
      <c r="J30" s="420"/>
    </row>
    <row r="31" spans="1:10" ht="13.8" thickBot="1" x14ac:dyDescent="0.3"/>
    <row r="32" spans="1:10" ht="27.75" customHeight="1" thickBot="1" x14ac:dyDescent="0.3">
      <c r="A32" s="1"/>
      <c r="B32" s="1"/>
      <c r="C32" s="468" t="s">
        <v>44</v>
      </c>
      <c r="D32" s="469"/>
      <c r="E32" s="469"/>
      <c r="F32" s="470"/>
      <c r="G32" s="1"/>
      <c r="H32" s="1"/>
      <c r="I32" s="1"/>
      <c r="J32" s="1"/>
    </row>
    <row r="33" spans="1:10" ht="27" thickBot="1" x14ac:dyDescent="0.3">
      <c r="A33" s="464" t="s">
        <v>54</v>
      </c>
      <c r="B33" s="465" t="s">
        <v>110</v>
      </c>
      <c r="C33" s="466" t="s">
        <v>73</v>
      </c>
      <c r="D33" s="466" t="s">
        <v>45</v>
      </c>
      <c r="E33" s="466" t="s">
        <v>46</v>
      </c>
      <c r="F33" s="466" t="s">
        <v>47</v>
      </c>
      <c r="G33" s="465" t="s">
        <v>48</v>
      </c>
      <c r="H33" s="465" t="s">
        <v>49</v>
      </c>
      <c r="I33" s="465" t="s">
        <v>10</v>
      </c>
      <c r="J33" s="467" t="s">
        <v>50</v>
      </c>
    </row>
    <row r="34" spans="1:10" x14ac:dyDescent="0.25">
      <c r="A34" s="471" t="s">
        <v>43</v>
      </c>
      <c r="B34" s="472">
        <v>20603675.730342526</v>
      </c>
      <c r="C34" s="472">
        <v>8745493.5128544774</v>
      </c>
      <c r="D34" s="472">
        <v>4638963.4416736159</v>
      </c>
      <c r="E34" s="472">
        <v>4615330.8043744909</v>
      </c>
      <c r="F34" s="472">
        <v>0</v>
      </c>
      <c r="G34" s="472">
        <v>2150508.9257422159</v>
      </c>
      <c r="H34" s="473">
        <f>G34/$G$39</f>
        <v>7.8103186942484776E-2</v>
      </c>
      <c r="I34" s="472">
        <v>453379.06526237854</v>
      </c>
      <c r="J34" s="474">
        <f>SUM(B34:B34)/SUM(C34:G34)-1</f>
        <v>2.2499869495381519E-2</v>
      </c>
    </row>
    <row r="35" spans="1:10" x14ac:dyDescent="0.25">
      <c r="A35" s="475" t="s">
        <v>42</v>
      </c>
      <c r="B35" s="476">
        <v>3224548.2139406311</v>
      </c>
      <c r="C35" s="476">
        <v>0</v>
      </c>
      <c r="D35" s="476">
        <v>3613031.1714152484</v>
      </c>
      <c r="E35" s="476">
        <v>7104678.4590405412</v>
      </c>
      <c r="F35" s="476">
        <v>0</v>
      </c>
      <c r="G35" s="476">
        <v>1113279.4812449894</v>
      </c>
      <c r="H35" s="477">
        <f>G35/$G$39</f>
        <v>4.0432603837205726E-2</v>
      </c>
      <c r="I35" s="476">
        <v>139052.61552967635</v>
      </c>
      <c r="J35" s="478">
        <f>SUM(B35:B35,C39)/SUM(C35:G35)-1</f>
        <v>1.1753253576812783E-2</v>
      </c>
    </row>
    <row r="36" spans="1:10" x14ac:dyDescent="0.25">
      <c r="A36" s="475" t="s">
        <v>41</v>
      </c>
      <c r="B36" s="476">
        <v>4267214.7220969405</v>
      </c>
      <c r="C36" s="476">
        <v>0</v>
      </c>
      <c r="D36" s="476">
        <v>0</v>
      </c>
      <c r="E36" s="476">
        <v>9560668.7778366283</v>
      </c>
      <c r="F36" s="476">
        <v>2980.4481027317665</v>
      </c>
      <c r="G36" s="476">
        <v>2788269.3200928257</v>
      </c>
      <c r="H36" s="477">
        <f>G36/$G$39</f>
        <v>0.10126566662728168</v>
      </c>
      <c r="I36" s="476">
        <v>167290.78915361871</v>
      </c>
      <c r="J36" s="478">
        <f>SUM(B36:B36,D39)/SUM(C36:G36)-1</f>
        <v>1.3543708900781271E-2</v>
      </c>
    </row>
    <row r="37" spans="1:10" x14ac:dyDescent="0.25">
      <c r="A37" s="475" t="s">
        <v>40</v>
      </c>
      <c r="B37" s="476">
        <v>1230507.0502631168</v>
      </c>
      <c r="C37" s="476">
        <v>0</v>
      </c>
      <c r="D37" s="476">
        <v>0</v>
      </c>
      <c r="E37" s="476">
        <v>0</v>
      </c>
      <c r="F37" s="476">
        <v>13188175.031785201</v>
      </c>
      <c r="G37" s="476">
        <v>8663143.6621068213</v>
      </c>
      <c r="H37" s="477">
        <f>G37/$G$39</f>
        <v>0.3146320951528282</v>
      </c>
      <c r="I37" s="476">
        <v>659866.3974027544</v>
      </c>
      <c r="J37" s="478">
        <f>SUM(B37:B37,E39)/SUM(C37:G37)-1</f>
        <v>3.0198012617298042E-2</v>
      </c>
    </row>
    <row r="38" spans="1:10" ht="13.8" thickBot="1" x14ac:dyDescent="0.3">
      <c r="A38" s="479" t="s">
        <v>53</v>
      </c>
      <c r="B38" s="480">
        <v>655585.1247992306</v>
      </c>
      <c r="C38" s="480">
        <v>0</v>
      </c>
      <c r="D38" s="480">
        <v>0</v>
      </c>
      <c r="E38" s="480">
        <v>0</v>
      </c>
      <c r="F38" s="480">
        <v>0</v>
      </c>
      <c r="G38" s="480">
        <v>12819000.606000001</v>
      </c>
      <c r="H38" s="481">
        <f>G38/$G$39</f>
        <v>0.4655664474401997</v>
      </c>
      <c r="I38" s="480">
        <v>1027739.9982518167</v>
      </c>
      <c r="J38" s="482">
        <f>SUM(B38:B38,F39)/SUM(C38:G38)-1</f>
        <v>8.0173176542805091E-2</v>
      </c>
    </row>
    <row r="39" spans="1:10" ht="13.8" thickBot="1" x14ac:dyDescent="0.3">
      <c r="A39" s="421" t="s">
        <v>4</v>
      </c>
      <c r="B39" s="483">
        <f t="shared" ref="B39:I39" si="2">SUM(B34:B38)</f>
        <v>29981530.841442447</v>
      </c>
      <c r="C39" s="483">
        <f t="shared" si="2"/>
        <v>8745493.5128544774</v>
      </c>
      <c r="D39" s="483">
        <f t="shared" si="2"/>
        <v>8251994.6130888648</v>
      </c>
      <c r="E39" s="483">
        <f t="shared" si="2"/>
        <v>21280678.041251659</v>
      </c>
      <c r="F39" s="483">
        <f t="shared" si="2"/>
        <v>13191155.479887933</v>
      </c>
      <c r="G39" s="483">
        <f t="shared" si="2"/>
        <v>27534201.99518685</v>
      </c>
      <c r="H39" s="484">
        <f t="shared" si="2"/>
        <v>1</v>
      </c>
      <c r="I39" s="483">
        <f t="shared" si="2"/>
        <v>2447328.8656002446</v>
      </c>
      <c r="J39" s="485"/>
    </row>
    <row r="41" spans="1:10" s="414" customFormat="1" ht="15.6" x14ac:dyDescent="0.3">
      <c r="A41" s="419" t="s">
        <v>76</v>
      </c>
      <c r="B41" s="420"/>
      <c r="C41" s="420"/>
      <c r="D41" s="420"/>
      <c r="E41" s="420"/>
      <c r="F41" s="420"/>
      <c r="G41" s="420"/>
      <c r="H41" s="420"/>
      <c r="I41" s="420"/>
      <c r="J41" s="420"/>
    </row>
    <row r="42" spans="1:10" ht="13.8" thickBot="1" x14ac:dyDescent="0.3"/>
    <row r="43" spans="1:10" ht="27.75" customHeight="1" thickBot="1" x14ac:dyDescent="0.3">
      <c r="A43" s="1"/>
      <c r="B43" s="1"/>
      <c r="C43" s="468" t="s">
        <v>44</v>
      </c>
      <c r="D43" s="469"/>
      <c r="E43" s="469"/>
      <c r="F43" s="470"/>
      <c r="G43" s="1"/>
      <c r="H43" s="1"/>
      <c r="I43" s="1"/>
      <c r="J43" s="1"/>
    </row>
    <row r="44" spans="1:10" ht="27" thickBot="1" x14ac:dyDescent="0.3">
      <c r="A44" s="464" t="s">
        <v>54</v>
      </c>
      <c r="B44" s="465" t="s">
        <v>110</v>
      </c>
      <c r="C44" s="466" t="s">
        <v>73</v>
      </c>
      <c r="D44" s="466" t="s">
        <v>45</v>
      </c>
      <c r="E44" s="466" t="s">
        <v>46</v>
      </c>
      <c r="F44" s="466" t="s">
        <v>47</v>
      </c>
      <c r="G44" s="465" t="s">
        <v>48</v>
      </c>
      <c r="H44" s="465" t="s">
        <v>49</v>
      </c>
      <c r="I44" s="465" t="s">
        <v>10</v>
      </c>
      <c r="J44" s="467" t="s">
        <v>50</v>
      </c>
    </row>
    <row r="45" spans="1:10" x14ac:dyDescent="0.25">
      <c r="A45" s="471" t="s">
        <v>43</v>
      </c>
      <c r="B45" s="472">
        <v>18262261.878316734</v>
      </c>
      <c r="C45" s="472">
        <v>7230558.298384266</v>
      </c>
      <c r="D45" s="472">
        <v>4199370.1221878864</v>
      </c>
      <c r="E45" s="472">
        <v>4118990.4303639345</v>
      </c>
      <c r="F45" s="472">
        <v>0</v>
      </c>
      <c r="G45" s="472">
        <v>2370883.557</v>
      </c>
      <c r="H45" s="473">
        <f>G45/$G$50</f>
        <v>9.4465765968498705E-2</v>
      </c>
      <c r="I45" s="472">
        <v>342459.47025265638</v>
      </c>
      <c r="J45" s="474">
        <f>SUM(B45:B45)/SUM(C45:G45)-1</f>
        <v>1.9110672237601323E-2</v>
      </c>
    </row>
    <row r="46" spans="1:10" x14ac:dyDescent="0.25">
      <c r="A46" s="475" t="s">
        <v>42</v>
      </c>
      <c r="B46" s="476">
        <v>3090020.2031379654</v>
      </c>
      <c r="C46" s="476">
        <v>0</v>
      </c>
      <c r="D46" s="476">
        <v>2989414.6011319049</v>
      </c>
      <c r="E46" s="476">
        <v>6233827.6047291253</v>
      </c>
      <c r="F46" s="476">
        <v>0</v>
      </c>
      <c r="G46" s="476">
        <v>980791.27599999984</v>
      </c>
      <c r="H46" s="477">
        <f>G46/$G$50</f>
        <v>3.9078764062034956E-2</v>
      </c>
      <c r="I46" s="476">
        <v>116545.01978919662</v>
      </c>
      <c r="J46" s="478">
        <f>SUM(B46:B46,C50)/SUM(C46:G46)-1</f>
        <v>1.1421465822154975E-2</v>
      </c>
    </row>
    <row r="47" spans="1:10" x14ac:dyDescent="0.25">
      <c r="A47" s="475" t="s">
        <v>41</v>
      </c>
      <c r="B47" s="476">
        <v>4281523.5610826984</v>
      </c>
      <c r="C47" s="476">
        <v>0</v>
      </c>
      <c r="D47" s="476">
        <v>0</v>
      </c>
      <c r="E47" s="476">
        <v>9108270.8548720405</v>
      </c>
      <c r="F47" s="476">
        <v>3508.9967311839641</v>
      </c>
      <c r="G47" s="476">
        <v>2209544.9411062733</v>
      </c>
      <c r="H47" s="477">
        <f>G47/$G$50</f>
        <v>8.8037370999163533E-2</v>
      </c>
      <c r="I47" s="476">
        <v>148983.49169298995</v>
      </c>
      <c r="J47" s="478">
        <f>SUM(B47:B47,D50)/SUM(C47:G47)-1</f>
        <v>1.315954576172329E-2</v>
      </c>
    </row>
    <row r="48" spans="1:10" x14ac:dyDescent="0.25">
      <c r="A48" s="475" t="s">
        <v>40</v>
      </c>
      <c r="B48" s="476">
        <v>1174082.3847759359</v>
      </c>
      <c r="C48" s="476">
        <v>0</v>
      </c>
      <c r="D48" s="476">
        <v>0</v>
      </c>
      <c r="E48" s="476">
        <v>0</v>
      </c>
      <c r="F48" s="476">
        <v>12123620.625101065</v>
      </c>
      <c r="G48" s="476">
        <v>7868525.0088937255</v>
      </c>
      <c r="H48" s="477">
        <f>G48/$G$50</f>
        <v>0.31351444477854373</v>
      </c>
      <c r="I48" s="476">
        <v>643025.64155624434</v>
      </c>
      <c r="J48" s="478">
        <f>SUM(B48:B48,E50)/SUM(C48:G48)-1</f>
        <v>3.2163913394710475E-2</v>
      </c>
    </row>
    <row r="49" spans="1:10" ht="13.8" thickBot="1" x14ac:dyDescent="0.3">
      <c r="A49" s="479" t="s">
        <v>53</v>
      </c>
      <c r="B49" s="480">
        <v>489274.23593264102</v>
      </c>
      <c r="C49" s="480">
        <v>0</v>
      </c>
      <c r="D49" s="480">
        <v>0</v>
      </c>
      <c r="E49" s="480">
        <v>0</v>
      </c>
      <c r="F49" s="480">
        <v>0</v>
      </c>
      <c r="G49" s="480">
        <v>11668062.16</v>
      </c>
      <c r="H49" s="481">
        <f>G49/$G$50</f>
        <v>0.464903654191759</v>
      </c>
      <c r="I49" s="480">
        <v>948341.69763690268</v>
      </c>
      <c r="J49" s="482">
        <f>SUM(B49:B49,F50)/SUM(C49:G49)-1</f>
        <v>8.1276709427891003E-2</v>
      </c>
    </row>
    <row r="50" spans="1:10" ht="13.8" thickBot="1" x14ac:dyDescent="0.3">
      <c r="A50" s="421" t="s">
        <v>4</v>
      </c>
      <c r="B50" s="483">
        <f t="shared" ref="B50:I50" si="3">SUM(B45:B49)</f>
        <v>27297162.263245974</v>
      </c>
      <c r="C50" s="483">
        <f t="shared" si="3"/>
        <v>7230558.298384266</v>
      </c>
      <c r="D50" s="483">
        <f t="shared" si="3"/>
        <v>7188784.7233197913</v>
      </c>
      <c r="E50" s="483">
        <f t="shared" si="3"/>
        <v>19461088.889965102</v>
      </c>
      <c r="F50" s="483">
        <f t="shared" si="3"/>
        <v>12127129.62183225</v>
      </c>
      <c r="G50" s="483">
        <f t="shared" si="3"/>
        <v>25097806.943</v>
      </c>
      <c r="H50" s="484">
        <f t="shared" si="3"/>
        <v>1</v>
      </c>
      <c r="I50" s="483">
        <f t="shared" si="3"/>
        <v>2199355.3209279901</v>
      </c>
      <c r="J50" s="485"/>
    </row>
    <row r="52" spans="1:10" s="414" customFormat="1" ht="15.6" x14ac:dyDescent="0.3">
      <c r="A52" s="419" t="s">
        <v>77</v>
      </c>
      <c r="B52" s="420"/>
      <c r="C52" s="420"/>
      <c r="D52" s="420"/>
      <c r="E52" s="420"/>
      <c r="F52" s="420"/>
      <c r="G52" s="420"/>
      <c r="H52" s="420"/>
      <c r="I52" s="420"/>
      <c r="J52" s="420"/>
    </row>
    <row r="53" spans="1:10" ht="13.8" thickBot="1" x14ac:dyDescent="0.3"/>
    <row r="54" spans="1:10" ht="27.75" customHeight="1" thickBot="1" x14ac:dyDescent="0.3">
      <c r="A54" s="1"/>
      <c r="B54" s="1"/>
      <c r="C54" s="468" t="s">
        <v>44</v>
      </c>
      <c r="D54" s="469"/>
      <c r="E54" s="469"/>
      <c r="F54" s="470"/>
      <c r="G54" s="1"/>
      <c r="H54" s="1"/>
      <c r="I54" s="1"/>
      <c r="J54" s="1"/>
    </row>
    <row r="55" spans="1:10" ht="27" thickBot="1" x14ac:dyDescent="0.3">
      <c r="A55" s="464" t="s">
        <v>54</v>
      </c>
      <c r="B55" s="465" t="s">
        <v>110</v>
      </c>
      <c r="C55" s="466" t="s">
        <v>73</v>
      </c>
      <c r="D55" s="466" t="s">
        <v>45</v>
      </c>
      <c r="E55" s="466" t="s">
        <v>46</v>
      </c>
      <c r="F55" s="466" t="s">
        <v>47</v>
      </c>
      <c r="G55" s="465" t="s">
        <v>48</v>
      </c>
      <c r="H55" s="465" t="s">
        <v>49</v>
      </c>
      <c r="I55" s="465" t="s">
        <v>10</v>
      </c>
      <c r="J55" s="467" t="s">
        <v>50</v>
      </c>
    </row>
    <row r="56" spans="1:10" x14ac:dyDescent="0.25">
      <c r="A56" s="471" t="s">
        <v>43</v>
      </c>
      <c r="B56" s="472">
        <v>12057864.936321622</v>
      </c>
      <c r="C56" s="472">
        <v>5218414.1179117067</v>
      </c>
      <c r="D56" s="472">
        <v>2615220.2107247417</v>
      </c>
      <c r="E56" s="472">
        <v>2576270.5141544621</v>
      </c>
      <c r="F56" s="472">
        <v>0</v>
      </c>
      <c r="G56" s="472">
        <v>1314861.754</v>
      </c>
      <c r="H56" s="473">
        <f>G56/$G$61</f>
        <v>8.2727260293199281E-2</v>
      </c>
      <c r="I56" s="472">
        <v>333098.33960523846</v>
      </c>
      <c r="J56" s="474">
        <f>SUM(B56:B56)/SUM(C56:G56)-1</f>
        <v>2.840980558383821E-2</v>
      </c>
    </row>
    <row r="57" spans="1:10" x14ac:dyDescent="0.25">
      <c r="A57" s="475" t="s">
        <v>42</v>
      </c>
      <c r="B57" s="476">
        <v>1661105.74467362</v>
      </c>
      <c r="C57" s="476">
        <v>0</v>
      </c>
      <c r="D57" s="476">
        <v>2111088.0868463763</v>
      </c>
      <c r="E57" s="476">
        <v>3983349.7311110566</v>
      </c>
      <c r="F57" s="476">
        <v>0</v>
      </c>
      <c r="G57" s="476">
        <v>706006.30399999989</v>
      </c>
      <c r="H57" s="477">
        <f>G57/$G$61</f>
        <v>4.4419854104028926E-2</v>
      </c>
      <c r="I57" s="476">
        <v>79075.740553365904</v>
      </c>
      <c r="J57" s="478">
        <f>SUM(B57:B57,C61)/SUM(C57:G57)-1</f>
        <v>1.1628025936213815E-2</v>
      </c>
    </row>
    <row r="58" spans="1:10" x14ac:dyDescent="0.25">
      <c r="A58" s="475" t="s">
        <v>41</v>
      </c>
      <c r="B58" s="476">
        <v>2374616.2040078351</v>
      </c>
      <c r="C58" s="476">
        <v>0</v>
      </c>
      <c r="D58" s="476">
        <v>0</v>
      </c>
      <c r="E58" s="476">
        <v>5195139.6701834137</v>
      </c>
      <c r="F58" s="476">
        <v>1470.0069012334698</v>
      </c>
      <c r="G58" s="476">
        <v>1812430.6559928125</v>
      </c>
      <c r="H58" s="477">
        <f>G58/$G$61</f>
        <v>0.11403284199693234</v>
      </c>
      <c r="I58" s="476">
        <v>91884.168501493346</v>
      </c>
      <c r="J58" s="478">
        <f>SUM(B58:B58,D61)/SUM(C58:G58)-1</f>
        <v>1.3109379335123572E-2</v>
      </c>
    </row>
    <row r="59" spans="1:10" x14ac:dyDescent="0.25">
      <c r="A59" s="475" t="s">
        <v>40</v>
      </c>
      <c r="B59" s="476">
        <v>751832.46316967707</v>
      </c>
      <c r="C59" s="476">
        <v>0</v>
      </c>
      <c r="D59" s="476">
        <v>0</v>
      </c>
      <c r="E59" s="476">
        <v>0</v>
      </c>
      <c r="F59" s="476">
        <v>7091742.1314922553</v>
      </c>
      <c r="G59" s="476">
        <v>5054881.6960071875</v>
      </c>
      <c r="H59" s="477">
        <f>G59/$G$61</f>
        <v>0.31803838886085301</v>
      </c>
      <c r="I59" s="476">
        <v>359968.55111916584</v>
      </c>
      <c r="J59" s="478">
        <f>SUM(B59:B59,E61)/SUM(C59:G59)-1</f>
        <v>2.963527612538841E-2</v>
      </c>
    </row>
    <row r="60" spans="1:10" ht="13.8" thickBot="1" x14ac:dyDescent="0.3">
      <c r="A60" s="479" t="s">
        <v>53</v>
      </c>
      <c r="B60" s="480">
        <v>439613.23390698776</v>
      </c>
      <c r="C60" s="480">
        <v>0</v>
      </c>
      <c r="D60" s="480">
        <v>0</v>
      </c>
      <c r="E60" s="480">
        <v>0</v>
      </c>
      <c r="F60" s="480">
        <v>0</v>
      </c>
      <c r="G60" s="480">
        <v>7005755.2689999994</v>
      </c>
      <c r="H60" s="481">
        <f>G60/$G$61</f>
        <v>0.44078165474498643</v>
      </c>
      <c r="I60" s="480">
        <v>527070.10337500449</v>
      </c>
      <c r="J60" s="482">
        <f>SUM(B60:B60,F61)/SUM(C60:G60)-1</f>
        <v>7.5233873160361009E-2</v>
      </c>
    </row>
    <row r="61" spans="1:10" ht="13.8" thickBot="1" x14ac:dyDescent="0.3">
      <c r="A61" s="421" t="s">
        <v>4</v>
      </c>
      <c r="B61" s="483">
        <f t="shared" ref="B61:I61" si="4">SUM(B56:B60)</f>
        <v>17285032.582079738</v>
      </c>
      <c r="C61" s="483">
        <f t="shared" si="4"/>
        <v>5218414.1179117067</v>
      </c>
      <c r="D61" s="483">
        <f t="shared" si="4"/>
        <v>4726308.297571118</v>
      </c>
      <c r="E61" s="483">
        <f t="shared" si="4"/>
        <v>11754759.915448934</v>
      </c>
      <c r="F61" s="483">
        <f t="shared" si="4"/>
        <v>7093212.1383934887</v>
      </c>
      <c r="G61" s="483">
        <f t="shared" si="4"/>
        <v>15893935.679</v>
      </c>
      <c r="H61" s="484">
        <f t="shared" si="4"/>
        <v>1</v>
      </c>
      <c r="I61" s="483">
        <f t="shared" si="4"/>
        <v>1391096.9031542679</v>
      </c>
      <c r="J61" s="485"/>
    </row>
    <row r="63" spans="1:10" s="414" customFormat="1" ht="15.6" x14ac:dyDescent="0.3">
      <c r="A63" s="419" t="s">
        <v>78</v>
      </c>
      <c r="B63" s="420"/>
      <c r="C63" s="420"/>
      <c r="D63" s="420"/>
      <c r="E63" s="420"/>
      <c r="F63" s="420"/>
      <c r="G63" s="420"/>
      <c r="H63" s="420"/>
      <c r="I63" s="420"/>
      <c r="J63" s="420"/>
    </row>
    <row r="64" spans="1:10" ht="13.8" thickBot="1" x14ac:dyDescent="0.3"/>
    <row r="65" spans="1:10" ht="27.75" customHeight="1" thickBot="1" x14ac:dyDescent="0.3">
      <c r="A65" s="1"/>
      <c r="B65" s="1"/>
      <c r="C65" s="468" t="s">
        <v>44</v>
      </c>
      <c r="D65" s="469"/>
      <c r="E65" s="469"/>
      <c r="F65" s="470"/>
      <c r="G65" s="1"/>
      <c r="H65" s="1"/>
      <c r="I65" s="1"/>
      <c r="J65" s="1"/>
    </row>
    <row r="66" spans="1:10" ht="27" thickBot="1" x14ac:dyDescent="0.3">
      <c r="A66" s="464" t="s">
        <v>54</v>
      </c>
      <c r="B66" s="465" t="s">
        <v>110</v>
      </c>
      <c r="C66" s="466" t="s">
        <v>73</v>
      </c>
      <c r="D66" s="466" t="s">
        <v>45</v>
      </c>
      <c r="E66" s="466" t="s">
        <v>46</v>
      </c>
      <c r="F66" s="466" t="s">
        <v>47</v>
      </c>
      <c r="G66" s="465" t="s">
        <v>48</v>
      </c>
      <c r="H66" s="465" t="s">
        <v>49</v>
      </c>
      <c r="I66" s="465" t="s">
        <v>10</v>
      </c>
      <c r="J66" s="467" t="s">
        <v>50</v>
      </c>
    </row>
    <row r="67" spans="1:10" x14ac:dyDescent="0.25">
      <c r="A67" s="471" t="s">
        <v>43</v>
      </c>
      <c r="B67" s="472">
        <v>81744063.750720754</v>
      </c>
      <c r="C67" s="472">
        <v>33117096.406580623</v>
      </c>
      <c r="D67" s="472">
        <v>16902578.299664509</v>
      </c>
      <c r="E67" s="472">
        <v>16824353.79214967</v>
      </c>
      <c r="F67" s="472">
        <v>0</v>
      </c>
      <c r="G67" s="472">
        <v>12783555.533432316</v>
      </c>
      <c r="H67" s="473">
        <f>G67/$G$72</f>
        <v>0.11589903270761237</v>
      </c>
      <c r="I67" s="472">
        <v>2116479.7193598216</v>
      </c>
      <c r="J67" s="474">
        <f>SUM(B67:B67)/SUM(C67:G67)-1</f>
        <v>2.6579730436725013E-2</v>
      </c>
    </row>
    <row r="68" spans="1:10" x14ac:dyDescent="0.25">
      <c r="A68" s="475" t="s">
        <v>42</v>
      </c>
      <c r="B68" s="476">
        <v>14503285.724557605</v>
      </c>
      <c r="C68" s="476">
        <v>0</v>
      </c>
      <c r="D68" s="476">
        <v>14260401.838586159</v>
      </c>
      <c r="E68" s="476">
        <v>27104401.092757002</v>
      </c>
      <c r="F68" s="476">
        <v>0</v>
      </c>
      <c r="G68" s="476">
        <v>5625432.0990737509</v>
      </c>
      <c r="H68" s="477">
        <f>G68/$G$72</f>
        <v>5.1001627609775592E-2</v>
      </c>
      <c r="I68" s="476">
        <v>630147.10025513859</v>
      </c>
      <c r="J68" s="478">
        <f>SUM(B68:B68,C72)/SUM(C68:G68)-1</f>
        <v>1.3410171290129114E-2</v>
      </c>
    </row>
    <row r="69" spans="1:10" x14ac:dyDescent="0.25">
      <c r="A69" s="475" t="s">
        <v>41</v>
      </c>
      <c r="B69" s="476">
        <v>19227808.222123664</v>
      </c>
      <c r="C69" s="476">
        <v>0</v>
      </c>
      <c r="D69" s="476">
        <v>0</v>
      </c>
      <c r="E69" s="476">
        <v>37757279.6484413</v>
      </c>
      <c r="F69" s="476">
        <v>11988.368785119961</v>
      </c>
      <c r="G69" s="476">
        <v>11828634.283334648</v>
      </c>
      <c r="H69" s="477">
        <f>G69/$G$72</f>
        <v>0.10724146878427185</v>
      </c>
      <c r="I69" s="476">
        <v>792886.05981324217</v>
      </c>
      <c r="J69" s="478">
        <f>SUM(B69:B69,D72)/SUM(C69:G69)-1</f>
        <v>1.5986282141700503E-2</v>
      </c>
    </row>
    <row r="70" spans="1:10" x14ac:dyDescent="0.25">
      <c r="A70" s="475" t="s">
        <v>40</v>
      </c>
      <c r="B70" s="476">
        <v>4862784.2444378939</v>
      </c>
      <c r="C70" s="476">
        <v>0</v>
      </c>
      <c r="D70" s="476">
        <v>0</v>
      </c>
      <c r="E70" s="476">
        <v>0</v>
      </c>
      <c r="F70" s="476">
        <v>51814120.210995883</v>
      </c>
      <c r="G70" s="476">
        <v>31729118.030688956</v>
      </c>
      <c r="H70" s="477">
        <f>G70/$G$72</f>
        <v>0.28766442002815451</v>
      </c>
      <c r="I70" s="476">
        <v>3005580.5357610304</v>
      </c>
      <c r="J70" s="478">
        <f>SUM(B70:B70,E72)/SUM(C70:G70)-1</f>
        <v>3.5976347091144278E-2</v>
      </c>
    </row>
    <row r="71" spans="1:10" ht="13.8" thickBot="1" x14ac:dyDescent="0.3">
      <c r="A71" s="479" t="s">
        <v>53</v>
      </c>
      <c r="B71" s="480">
        <v>1527952.8501003888</v>
      </c>
      <c r="C71" s="480">
        <v>0</v>
      </c>
      <c r="D71" s="480">
        <v>0</v>
      </c>
      <c r="E71" s="480">
        <v>0</v>
      </c>
      <c r="F71" s="480">
        <v>0</v>
      </c>
      <c r="G71" s="480">
        <v>48332330.155999996</v>
      </c>
      <c r="H71" s="481">
        <f>G71/$G$72</f>
        <v>0.43819345087018563</v>
      </c>
      <c r="I71" s="480">
        <v>5021731.2743475577</v>
      </c>
      <c r="J71" s="482">
        <f>SUM(B71:B71,F72)/SUM(C71:G71)-1</f>
        <v>0.10390004491140803</v>
      </c>
    </row>
    <row r="72" spans="1:10" ht="13.8" thickBot="1" x14ac:dyDescent="0.3">
      <c r="A72" s="421" t="s">
        <v>4</v>
      </c>
      <c r="B72" s="483">
        <f t="shared" ref="B72:I72" si="5">SUM(B67:B71)</f>
        <v>121865894.7919403</v>
      </c>
      <c r="C72" s="483">
        <f t="shared" si="5"/>
        <v>33117096.406580623</v>
      </c>
      <c r="D72" s="483">
        <f t="shared" si="5"/>
        <v>31162980.138250668</v>
      </c>
      <c r="E72" s="483">
        <f t="shared" si="5"/>
        <v>81686034.533347964</v>
      </c>
      <c r="F72" s="483">
        <f t="shared" si="5"/>
        <v>51826108.579781003</v>
      </c>
      <c r="G72" s="483">
        <f t="shared" si="5"/>
        <v>110299070.10252967</v>
      </c>
      <c r="H72" s="484">
        <f t="shared" si="5"/>
        <v>1</v>
      </c>
      <c r="I72" s="483">
        <f t="shared" si="5"/>
        <v>11566824.689536791</v>
      </c>
      <c r="J72" s="48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P23"/>
  <sheetViews>
    <sheetView showGridLines="0" workbookViewId="0">
      <selection activeCell="Q22" sqref="Q22"/>
    </sheetView>
  </sheetViews>
  <sheetFormatPr baseColWidth="10" defaultRowHeight="13.2" x14ac:dyDescent="0.25"/>
  <cols>
    <col min="1" max="1" width="14.109375" customWidth="1"/>
    <col min="2" max="2" width="11.44140625" customWidth="1"/>
    <col min="3" max="3" width="13.44140625" customWidth="1"/>
    <col min="10" max="10" width="2.5546875" customWidth="1"/>
    <col min="11" max="16" width="12.109375" bestFit="1" customWidth="1"/>
  </cols>
  <sheetData>
    <row r="1" spans="1:16" s="1" customFormat="1" x14ac:dyDescent="0.25"/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4" customFormat="1" ht="63" customHeight="1" x14ac:dyDescent="0.25">
      <c r="A6" s="578" t="s">
        <v>189</v>
      </c>
      <c r="B6" s="578"/>
      <c r="C6" s="578"/>
      <c r="D6" s="578"/>
      <c r="E6" s="578"/>
      <c r="F6" s="578"/>
      <c r="G6" s="578"/>
      <c r="H6" s="578"/>
      <c r="I6" s="578"/>
    </row>
    <row r="7" spans="1:16" ht="13.8" thickBot="1" x14ac:dyDescent="0.3"/>
    <row r="8" spans="1:16" ht="26.4" x14ac:dyDescent="0.25">
      <c r="A8" s="72" t="s">
        <v>56</v>
      </c>
      <c r="B8" s="79" t="s">
        <v>72</v>
      </c>
      <c r="C8" s="73" t="s">
        <v>55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8.600000000000001" x14ac:dyDescent="0.25">
      <c r="A9" s="74" t="s">
        <v>11</v>
      </c>
      <c r="B9" s="80" t="s">
        <v>11</v>
      </c>
      <c r="C9" s="75" t="s">
        <v>57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99"/>
      <c r="L9" s="99"/>
      <c r="M9" s="99"/>
      <c r="N9" s="99"/>
      <c r="O9" s="99"/>
      <c r="P9" s="99"/>
    </row>
    <row r="10" spans="1:16" ht="18.600000000000001" x14ac:dyDescent="0.25">
      <c r="A10" s="574" t="s">
        <v>12</v>
      </c>
      <c r="B10" s="81" t="s">
        <v>12</v>
      </c>
      <c r="C10" s="76" t="s">
        <v>58</v>
      </c>
      <c r="D10" s="86">
        <f>'IIa. Balances de Potencia'!$G$15/('IIa. Balances de Potencia'!$F$15+'IIa. Balances de Potencia'!$G$15)</f>
        <v>0.28121146460141422</v>
      </c>
      <c r="E10" s="86">
        <f>'IIa. Balances de Potencia'!$G$26/('IIa. Balances de Potencia'!$F$26+'IIa. Balances de Potencia'!$G$26)</f>
        <v>0.37669895253283364</v>
      </c>
      <c r="F10" s="86">
        <f>'IIa. Balances de Potencia'!$G$37/('IIa. Balances de Potencia'!$F$37+'IIa. Balances de Potencia'!$G$37)</f>
        <v>0.3990794612815623</v>
      </c>
      <c r="G10" s="86">
        <f>'IIa. Balances de Potencia'!$G$48/('IIa. Balances de Potencia'!$F$48+'IIa. Balances de Potencia'!$G$48)</f>
        <v>0.39424704348054823</v>
      </c>
      <c r="H10" s="91">
        <f>'IIa. Balances de Potencia'!$G$59/('IIa. Balances de Potencia'!$F$59+'IIa. Balances de Potencia'!$G$59)</f>
        <v>0.38988688145912376</v>
      </c>
      <c r="I10" s="96">
        <f>'IIa. Balances de Potencia'!$G$70/('IIa. Balances de Potencia'!$F$70+'IIa. Balances de Potencia'!$G$70)</f>
        <v>0.24736842655858945</v>
      </c>
      <c r="K10" s="99"/>
      <c r="L10" s="99"/>
      <c r="M10" s="99"/>
      <c r="N10" s="99"/>
      <c r="O10" s="99"/>
      <c r="P10" s="99"/>
    </row>
    <row r="11" spans="1:16" ht="18.600000000000001" x14ac:dyDescent="0.25">
      <c r="A11" s="575"/>
      <c r="B11" s="82" t="s">
        <v>11</v>
      </c>
      <c r="C11" s="77" t="s">
        <v>59</v>
      </c>
      <c r="D11" s="87">
        <f>'IIa. Balances de Potencia'!$F$15/('IIa. Balances de Potencia'!$F$15+'IIa. Balances de Potencia'!$G$15)</f>
        <v>0.71878853539858589</v>
      </c>
      <c r="E11" s="87">
        <f>'IIa. Balances de Potencia'!$F$26/('IIa. Balances de Potencia'!$F$26+'IIa. Balances de Potencia'!$G$26)</f>
        <v>0.6233010474671663</v>
      </c>
      <c r="F11" s="87">
        <f>'IIa. Balances de Potencia'!$F$37/('IIa. Balances de Potencia'!$F$37+'IIa. Balances de Potencia'!$G$37)</f>
        <v>0.60092053871843776</v>
      </c>
      <c r="G11" s="87">
        <f>'IIa. Balances de Potencia'!$F$48/('IIa. Balances de Potencia'!$F$48+'IIa. Balances de Potencia'!$G$48)</f>
        <v>0.60575295651945182</v>
      </c>
      <c r="H11" s="92">
        <f>'IIa. Balances de Potencia'!$F$59/('IIa. Balances de Potencia'!$F$59+'IIa. Balances de Potencia'!$G$59)</f>
        <v>0.61011311854087613</v>
      </c>
      <c r="I11" s="97">
        <f>'IIa. Balances de Potencia'!$F$70/('IIa. Balances de Potencia'!$F$70+'IIa. Balances de Potencia'!$G$70)</f>
        <v>0.75263157344141052</v>
      </c>
      <c r="K11" s="99"/>
      <c r="L11" s="99"/>
      <c r="M11" s="99"/>
      <c r="N11" s="99"/>
      <c r="O11" s="99"/>
      <c r="P11" s="99"/>
    </row>
    <row r="12" spans="1:16" ht="17.399999999999999" x14ac:dyDescent="0.25">
      <c r="A12" s="574" t="s">
        <v>13</v>
      </c>
      <c r="B12" s="81" t="s">
        <v>13</v>
      </c>
      <c r="C12" s="76" t="s">
        <v>60</v>
      </c>
      <c r="D12" s="86">
        <f>'IIa. Balances de Potencia'!$G$14/SUM('IIa. Balances de Potencia'!$E$14:$G$14)</f>
        <v>0.16595788046142793</v>
      </c>
      <c r="E12" s="86">
        <f>'IIa. Balances de Potencia'!$G$25/SUM('IIa. Balances de Potencia'!$E$25:$G$25)</f>
        <v>0.18573956572448327</v>
      </c>
      <c r="F12" s="86">
        <f>'IIa. Balances de Potencia'!$G$36/SUM('IIa. Balances de Potencia'!$E$36:$G$36)</f>
        <v>0.20183982132150949</v>
      </c>
      <c r="G12" s="86">
        <f>'IIa. Balances de Potencia'!$G$47/SUM('IIa. Balances de Potencia'!$E$47:$G$47)</f>
        <v>0.20141498726779386</v>
      </c>
      <c r="H12" s="91">
        <f>'IIa. Balances de Potencia'!$G$58/SUM('IIa. Balances de Potencia'!$E$58:$G$58)</f>
        <v>0.22219870201498626</v>
      </c>
      <c r="I12" s="96">
        <f>'IIa. Balances de Potencia'!$G$69/SUM('IIa. Balances de Potencia'!$E$69:$G$69)</f>
        <v>0.15283139204025539</v>
      </c>
      <c r="K12" s="99"/>
      <c r="L12" s="99"/>
      <c r="M12" s="99"/>
      <c r="N12" s="99"/>
      <c r="O12" s="99"/>
      <c r="P12" s="99"/>
    </row>
    <row r="13" spans="1:16" ht="17.399999999999999" x14ac:dyDescent="0.25">
      <c r="A13" s="576"/>
      <c r="B13" s="81" t="s">
        <v>12</v>
      </c>
      <c r="C13" s="76" t="s">
        <v>61</v>
      </c>
      <c r="D13" s="86">
        <f>'IIa. Balances de Potencia'!$E$14/SUM('IIa. Balances de Potencia'!$E$14:$G$14)*D10</f>
        <v>0.23441737129366458</v>
      </c>
      <c r="E13" s="86">
        <f>'IIa. Balances de Potencia'!$E$25/SUM('IIa. Balances de Potencia'!$E$25:$G$25)*E10</f>
        <v>0.3065930842820187</v>
      </c>
      <c r="F13" s="86">
        <f>'IIa. Balances de Potencia'!$E$36/SUM('IIa. Balances de Potencia'!$E$36:$G$36)*F10</f>
        <v>0.31837938853215753</v>
      </c>
      <c r="G13" s="86">
        <f>'IIa. Balances de Potencia'!$E$47/SUM('IIa. Balances de Potencia'!$E$47:$G$47)*G10</f>
        <v>0.31469262569409212</v>
      </c>
      <c r="H13" s="91">
        <f>'IIa. Balances de Potencia'!$E$58/SUM('IIa. Balances de Potencia'!$E$58:$G$58)*H10</f>
        <v>0.30312004980695689</v>
      </c>
      <c r="I13" s="96">
        <f>'IIa. Balances de Potencia'!$E$69/SUM('IIa. Balances de Potencia'!$E$69:$G$69)*I10</f>
        <v>0.20943251410916783</v>
      </c>
      <c r="K13" s="99"/>
      <c r="L13" s="99"/>
      <c r="M13" s="99"/>
      <c r="N13" s="99"/>
      <c r="O13" s="99"/>
      <c r="P13" s="99"/>
    </row>
    <row r="14" spans="1:16" ht="17.399999999999999" x14ac:dyDescent="0.25">
      <c r="A14" s="575"/>
      <c r="B14" s="82" t="s">
        <v>11</v>
      </c>
      <c r="C14" s="77" t="s">
        <v>62</v>
      </c>
      <c r="D14" s="87">
        <f>'IIa. Balances de Potencia'!$F$14/SUM('IIa. Balances de Potencia'!$E$14:$G$14)+'IIa. Balances de Potencia'!$E$14/SUM('IIa. Balances de Potencia'!$E$14:$G$14)*D11</f>
        <v>0.59962474824490741</v>
      </c>
      <c r="E14" s="87">
        <f>'IIa. Balances de Potencia'!$F$25/SUM('IIa. Balances de Potencia'!$E$25:$G$25)+'IIa. Balances de Potencia'!$E$25/SUM('IIa. Balances de Potencia'!$E$25:$G$25)*E11</f>
        <v>0.50766734999349783</v>
      </c>
      <c r="F14" s="87">
        <f>'IIa. Balances de Potencia'!$F$36/SUM('IIa. Balances de Potencia'!$E$36:$G$36)+'IIa. Balances de Potencia'!$E$36/SUM('IIa. Balances de Potencia'!$E$36:$G$36)*F11</f>
        <v>0.47978079014633312</v>
      </c>
      <c r="G14" s="87">
        <f>'IIa. Balances de Potencia'!$F$47/SUM('IIa. Balances de Potencia'!$E$47:$G$47)+'IIa. Balances de Potencia'!$E$47/SUM('IIa. Balances de Potencia'!$E$47:$G$47)*G11</f>
        <v>0.4838923870381141</v>
      </c>
      <c r="H14" s="92">
        <f>'IIa. Balances de Potencia'!$F$58/SUM('IIa. Balances de Potencia'!$E$58:$G$58)+'IIa. Balances de Potencia'!$E$58/SUM('IIa. Balances de Potencia'!$E$58:$G$58)*H11</f>
        <v>0.47468124817805668</v>
      </c>
      <c r="I14" s="97">
        <f>'IIa. Balances de Potencia'!$F$69/SUM('IIa. Balances de Potencia'!$E$69:$G$69)+'IIa. Balances de Potencia'!$E$69/SUM('IIa. Balances de Potencia'!$E$69:$G$69)*I11</f>
        <v>0.63773609385057661</v>
      </c>
      <c r="K14" s="99"/>
      <c r="L14" s="99"/>
      <c r="M14" s="99"/>
      <c r="N14" s="99"/>
      <c r="O14" s="99"/>
      <c r="P14" s="99"/>
    </row>
    <row r="15" spans="1:16" ht="17.399999999999999" x14ac:dyDescent="0.25">
      <c r="A15" s="574" t="s">
        <v>14</v>
      </c>
      <c r="B15" s="81" t="s">
        <v>14</v>
      </c>
      <c r="C15" s="76" t="s">
        <v>63</v>
      </c>
      <c r="D15" s="86">
        <f>'IIa. Balances de Potencia'!$G$13/SUM('IIa. Balances de Potencia'!$C$13:$G$13)</f>
        <v>6.2353843038917327E-2</v>
      </c>
      <c r="E15" s="86">
        <f>'IIa. Balances de Potencia'!$G$24/SUM('IIa. Balances de Potencia'!$C$24:$G$24)</f>
        <v>7.3543631107900909E-2</v>
      </c>
      <c r="F15" s="86">
        <f>'IIa. Balances de Potencia'!$G$35/SUM('IIa. Balances de Potencia'!$C$35:$G$35)</f>
        <v>8.1459863910867458E-2</v>
      </c>
      <c r="G15" s="86">
        <f>'IIa. Balances de Potencia'!$G$46/SUM('IIa. Balances de Potencia'!$C$46:$G$46)</f>
        <v>8.3099421726132675E-2</v>
      </c>
      <c r="H15" s="91">
        <f>'IIa. Balances de Potencia'!$G$57/SUM('IIa. Balances de Potencia'!$C$57:$G$57)</f>
        <v>9.668938485080561E-2</v>
      </c>
      <c r="I15" s="96">
        <f>'IIa. Balances de Potencia'!$G$68/SUM('IIa. Balances de Potencia'!$C$68:$G$68)</f>
        <v>7.4771903736067472E-2</v>
      </c>
      <c r="K15" s="99"/>
      <c r="L15" s="99"/>
      <c r="M15" s="99"/>
      <c r="N15" s="99"/>
      <c r="O15" s="99"/>
      <c r="P15" s="99"/>
    </row>
    <row r="16" spans="1:16" ht="17.399999999999999" x14ac:dyDescent="0.25">
      <c r="A16" s="576"/>
      <c r="B16" s="81" t="s">
        <v>13</v>
      </c>
      <c r="C16" s="76" t="s">
        <v>64</v>
      </c>
      <c r="D16" s="86">
        <f>'IIa. Balances de Potencia'!$D$13/SUM('IIa. Balances de Potencia'!$C$13:$G$13)*$D$12</f>
        <v>5.3778702402780695E-2</v>
      </c>
      <c r="E16" s="86">
        <f>'IIa. Balances de Potencia'!$D$24/SUM('IIa. Balances de Potencia'!$C$24:$G$24)*$E$12</f>
        <v>5.6805010289303175E-2</v>
      </c>
      <c r="F16" s="86">
        <f>'IIa. Balances de Potencia'!$D$35/SUM('IIa. Balances de Potencia'!$C$35:$G$35)*$F$12</f>
        <v>6.0837150240139158E-2</v>
      </c>
      <c r="G16" s="86">
        <f>'IIa. Balances de Potencia'!$D$46/SUM('IIa. Balances de Potencia'!$C$46:$G$46)*$G$12</f>
        <v>5.9774385297550969E-2</v>
      </c>
      <c r="H16" s="91">
        <f>'IIa. Balances de Potencia'!$D$57/SUM('IIa. Balances de Potencia'!$C$57:$G$57)*$H$12</f>
        <v>6.8265250243400827E-2</v>
      </c>
      <c r="I16" s="96">
        <f>'IIa. Balances de Potencia'!$D$68/SUM('IIa. Balances de Potencia'!$C$68:$G$68)*$I$12</f>
        <v>4.8242563739987178E-2</v>
      </c>
      <c r="K16" s="99"/>
      <c r="L16" s="99"/>
      <c r="M16" s="99"/>
      <c r="N16" s="99"/>
      <c r="O16" s="99"/>
      <c r="P16" s="99"/>
    </row>
    <row r="17" spans="1:16" ht="17.399999999999999" x14ac:dyDescent="0.25">
      <c r="A17" s="576"/>
      <c r="B17" s="81" t="s">
        <v>12</v>
      </c>
      <c r="C17" s="76" t="s">
        <v>65</v>
      </c>
      <c r="D17" s="86">
        <f>'IIa. Balances de Potencia'!$E$13/SUM('IIa. Balances de Potencia'!$C$13:$G$13)*$D$10+'IIa. Balances de Potencia'!$D$13/SUM('IIa. Balances de Potencia'!$C$13:$G$13)*$D$13</f>
        <v>0.24851320869292884</v>
      </c>
      <c r="E17" s="86">
        <f>'IIa. Balances de Potencia'!$E$24/SUM('IIa. Balances de Potencia'!$C$24:$G$24)*$E$10+'IIa. Balances de Potencia'!$D$24/SUM('IIa. Balances de Potencia'!$C$24:$G$24)*$E$13</f>
        <v>0.32755456077194472</v>
      </c>
      <c r="F17" s="86">
        <f>'IIa. Balances de Potencia'!$E$35/SUM('IIa. Balances de Potencia'!$C$35:$G$35)*$F$10+'IIa. Balances de Potencia'!$D$35/SUM('IIa. Balances de Potencia'!$C$35:$G$35)*$F$13</f>
        <v>0.34224644997860582</v>
      </c>
      <c r="G17" s="86">
        <f>'IIa. Balances de Potencia'!$E$46/SUM('IIa. Balances de Potencia'!$C$46:$G$46)*$G$10+'IIa. Balances de Potencia'!$D$46/SUM('IIa. Balances de Potencia'!$C$46:$G$46)*$G$13</f>
        <v>0.33787579608105761</v>
      </c>
      <c r="H17" s="91">
        <f>'IIa. Balances de Potencia'!$E$57/SUM('IIa. Balances de Potencia'!$C$57:$G$57)*$H$10+'IIa. Balances de Potencia'!$D$57/SUM('IIa. Balances de Potencia'!$C$57:$G$57)*$H$13</f>
        <v>0.32553191968354028</v>
      </c>
      <c r="I17" s="96">
        <f>'IIa. Balances de Potencia'!$E$68/SUM('IIa. Balances de Potencia'!$C$68:$G$68)*$I$10+'IIa. Balances de Potencia'!$D$68/SUM('IIa. Balances de Potencia'!$C$68:$G$68)*$I$13</f>
        <v>0.21689741628043657</v>
      </c>
      <c r="K17" s="99"/>
      <c r="L17" s="99"/>
      <c r="M17" s="99"/>
      <c r="N17" s="99"/>
      <c r="O17" s="99"/>
      <c r="P17" s="99"/>
    </row>
    <row r="18" spans="1:16" ht="16.2" x14ac:dyDescent="0.25">
      <c r="A18" s="575"/>
      <c r="B18" s="82" t="s">
        <v>11</v>
      </c>
      <c r="C18" s="77" t="s">
        <v>66</v>
      </c>
      <c r="D18" s="87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0.63535424586537315</v>
      </c>
      <c r="E18" s="87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0.54209679783085107</v>
      </c>
      <c r="F18" s="87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0.51545653587038753</v>
      </c>
      <c r="G18" s="87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0.51925039689525876</v>
      </c>
      <c r="H18" s="9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0.50951344522225328</v>
      </c>
      <c r="I18" s="97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0.66008811624350883</v>
      </c>
      <c r="K18" s="99"/>
      <c r="L18" s="99"/>
      <c r="M18" s="99"/>
      <c r="N18" s="99"/>
      <c r="O18" s="99"/>
      <c r="P18" s="99"/>
    </row>
    <row r="19" spans="1:16" ht="17.399999999999999" x14ac:dyDescent="0.25">
      <c r="A19" s="574" t="s">
        <v>15</v>
      </c>
      <c r="B19" s="81" t="s">
        <v>15</v>
      </c>
      <c r="C19" s="76" t="s">
        <v>67</v>
      </c>
      <c r="D19" s="86">
        <f>'IIa. Balances de Potencia'!$G$12/SUM('IIa. Balances de Potencia'!$C$12:$G$12)</f>
        <v>9.0341515431305003E-2</v>
      </c>
      <c r="E19" s="86">
        <f>'IIa. Balances de Potencia'!$G$23/SUM('IIa. Balances de Potencia'!$C$23:$G$23)</f>
        <v>7.5313127857926571E-2</v>
      </c>
      <c r="F19" s="86">
        <f>'IIa. Balances de Potencia'!$G$34/SUM('IIa. Balances de Potencia'!$C$34:$G$34)</f>
        <v>8.2489405576404135E-2</v>
      </c>
      <c r="G19" s="86">
        <f>'IIa. Balances de Potencia'!$G$45/SUM('IIa. Balances de Potencia'!$C$45:$G$45)</f>
        <v>8.2981457539222911E-2</v>
      </c>
      <c r="H19" s="91">
        <f>'IIa. Balances de Potencia'!$G$56/SUM('IIa. Balances de Potencia'!$C$56:$G$56)</f>
        <v>0.1318912437806207</v>
      </c>
      <c r="I19" s="96">
        <f>'IIa. Balances de Potencia'!$G$67/SUM('IIa. Balances de Potencia'!$C$67:$G$67)</f>
        <v>0.12485369852498195</v>
      </c>
      <c r="K19" s="99"/>
      <c r="L19" s="99"/>
      <c r="M19" s="99"/>
      <c r="N19" s="99"/>
      <c r="O19" s="99"/>
      <c r="P19" s="99"/>
    </row>
    <row r="20" spans="1:16" ht="17.399999999999999" x14ac:dyDescent="0.25">
      <c r="A20" s="576"/>
      <c r="B20" s="81" t="s">
        <v>14</v>
      </c>
      <c r="C20" s="76" t="s">
        <v>68</v>
      </c>
      <c r="D20" s="86">
        <f>'IIa. Balances de Potencia'!$C$12/SUM('IIa. Balances de Potencia'!$C$12:$G$12)*D15</f>
        <v>2.7588367219473612E-2</v>
      </c>
      <c r="E20" s="86">
        <f>'IIa. Balances de Potencia'!$C$23/SUM('IIa. Balances de Potencia'!$C$23:$G$23)*E15</f>
        <v>3.1827973203528724E-2</v>
      </c>
      <c r="F20" s="86">
        <f>'IIa. Balances de Potencia'!$C$34/SUM('IIa. Balances de Potencia'!$C$34:$G$34)*F15</f>
        <v>3.436803360815377E-2</v>
      </c>
      <c r="G20" s="86">
        <f>'IIa. Balances de Potencia'!$C$45/SUM('IIa. Balances de Potencia'!$C$45:$G$45)*G15</f>
        <v>3.4841344343194754E-2</v>
      </c>
      <c r="H20" s="91">
        <f>'IIa. Balances de Potencia'!$C$56/SUM('IIa. Balances de Potencia'!$C$56:$G$56)*H15</f>
        <v>3.887096828004527E-2</v>
      </c>
      <c r="I20" s="96">
        <f>'IIa. Balances de Potencia'!$C$67/SUM('IIa. Balances de Potencia'!$C$67:$G$67)*I15</f>
        <v>3.3177941655044126E-2</v>
      </c>
      <c r="K20" s="99"/>
      <c r="L20" s="99"/>
      <c r="M20" s="99"/>
      <c r="N20" s="99"/>
      <c r="O20" s="99"/>
      <c r="P20" s="99"/>
    </row>
    <row r="21" spans="1:16" ht="17.399999999999999" x14ac:dyDescent="0.25">
      <c r="A21" s="576"/>
      <c r="B21" s="81" t="s">
        <v>13</v>
      </c>
      <c r="C21" s="76" t="s">
        <v>69</v>
      </c>
      <c r="D21" s="86">
        <f>'IIa. Balances de Potencia'!$D$12/SUM('IIa. Balances de Potencia'!$C$12:$G$12)*D12+'IIa. Balances de Potencia'!$C$12/SUM('IIa. Balances de Potencia'!$C$12:$G$12)*D16</f>
        <v>6.2378570180296258E-2</v>
      </c>
      <c r="E21" s="86">
        <f>'IIa. Balances de Potencia'!$D$23/SUM('IIa. Balances de Potencia'!$C$23:$G$23)*E12+'IIa. Balances de Potencia'!$C$23/SUM('IIa. Balances de Potencia'!$C$23:$G$23)*E16</f>
        <v>6.9808490554235519E-2</v>
      </c>
      <c r="F21" s="86">
        <f>'IIa. Balances de Potencia'!$D$34/SUM('IIa. Balances de Potencia'!$C$34:$G$34)*F12+'IIa. Balances de Potencia'!$C$34/SUM('IIa. Balances de Potencia'!$C$34:$G$34)*F16</f>
        <v>7.5838779629130409E-2</v>
      </c>
      <c r="G21" s="86">
        <f>'IIa. Balances de Potencia'!$D$45/SUM('IIa. Balances de Potencia'!$C$45:$G$45)*G12+'IIa. Balances de Potencia'!$C$45/SUM('IIa. Balances de Potencia'!$C$45:$G$45)*G16</f>
        <v>7.4953426404925985E-2</v>
      </c>
      <c r="H21" s="91">
        <f>'IIa. Balances de Potencia'!$D$56/SUM('IIa. Balances de Potencia'!$C$56:$G$56)*H12+'IIa. Balances de Potencia'!$C$56/SUM('IIa. Balances de Potencia'!$C$56:$G$56)*H16</f>
        <v>7.7147259905700621E-2</v>
      </c>
      <c r="I21" s="96">
        <f>'IIa. Balances de Potencia'!$D$67/SUM('IIa. Balances de Potencia'!$C$67:$G$67)*I12+'IIa. Balances de Potencia'!$C$67/SUM('IIa. Balances de Potencia'!$C$67:$G$67)*I16</f>
        <v>5.3076446774933839E-2</v>
      </c>
      <c r="K21" s="99"/>
      <c r="L21" s="99"/>
      <c r="M21" s="99"/>
      <c r="N21" s="99"/>
      <c r="O21" s="99"/>
      <c r="P21" s="99"/>
    </row>
    <row r="22" spans="1:16" ht="17.399999999999999" x14ac:dyDescent="0.25">
      <c r="A22" s="576"/>
      <c r="B22" s="81" t="s">
        <v>12</v>
      </c>
      <c r="C22" s="76" t="s">
        <v>70</v>
      </c>
      <c r="D22" s="86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0.2304597389030103</v>
      </c>
      <c r="E22" s="86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0.30999037257902007</v>
      </c>
      <c r="F22" s="86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0.32212201791241252</v>
      </c>
      <c r="G22" s="86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0.31819082417110101</v>
      </c>
      <c r="H22" s="9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0.29318354172100969</v>
      </c>
      <c r="I22" s="96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0.19510171653424319</v>
      </c>
      <c r="K22" s="99"/>
      <c r="L22" s="99"/>
      <c r="M22" s="99"/>
      <c r="N22" s="99"/>
      <c r="O22" s="99"/>
      <c r="P22" s="99"/>
    </row>
    <row r="23" spans="1:16" ht="18" thickBot="1" x14ac:dyDescent="0.3">
      <c r="A23" s="577"/>
      <c r="B23" s="83" t="s">
        <v>11</v>
      </c>
      <c r="C23" s="78" t="s">
        <v>71</v>
      </c>
      <c r="D23" s="88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0.58923180826591492</v>
      </c>
      <c r="E23" s="88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0.51306003580528892</v>
      </c>
      <c r="F23" s="88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0.48518176327389934</v>
      </c>
      <c r="G23" s="88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0.48903294754155535</v>
      </c>
      <c r="H23" s="9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0.45890698631262361</v>
      </c>
      <c r="I23" s="98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0.59379019651079679</v>
      </c>
      <c r="K23" s="99"/>
      <c r="L23" s="99"/>
      <c r="M23" s="99"/>
      <c r="N23" s="99"/>
      <c r="O23" s="99"/>
      <c r="P23" s="99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P25"/>
  <sheetViews>
    <sheetView showGridLines="0" topLeftCell="A4" workbookViewId="0">
      <selection activeCell="U19" sqref="U19"/>
    </sheetView>
  </sheetViews>
  <sheetFormatPr baseColWidth="10" defaultRowHeight="13.2" x14ac:dyDescent="0.25"/>
  <cols>
    <col min="1" max="1" width="14.109375" customWidth="1"/>
    <col min="2" max="2" width="11.44140625" customWidth="1"/>
    <col min="3" max="3" width="13.44140625" customWidth="1"/>
  </cols>
  <sheetData>
    <row r="1" spans="1:16" s="1" customFormat="1" x14ac:dyDescent="0.25"/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4" customFormat="1" ht="63.75" customHeight="1" x14ac:dyDescent="0.25">
      <c r="A6" s="578" t="s">
        <v>190</v>
      </c>
      <c r="B6" s="578"/>
      <c r="C6" s="578"/>
      <c r="D6" s="578"/>
      <c r="E6" s="578"/>
      <c r="F6" s="578"/>
      <c r="G6" s="578"/>
      <c r="H6" s="578"/>
      <c r="I6" s="578"/>
    </row>
    <row r="7" spans="1:16" ht="13.8" thickBot="1" x14ac:dyDescent="0.3"/>
    <row r="8" spans="1:16" ht="26.4" x14ac:dyDescent="0.25">
      <c r="A8" s="72" t="s">
        <v>56</v>
      </c>
      <c r="B8" s="79" t="s">
        <v>72</v>
      </c>
      <c r="C8" s="73" t="s">
        <v>55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8.600000000000001" x14ac:dyDescent="0.25">
      <c r="A9" s="74" t="s">
        <v>11</v>
      </c>
      <c r="B9" s="80" t="s">
        <v>11</v>
      </c>
      <c r="C9" s="75" t="s">
        <v>57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89"/>
      <c r="L9" s="89"/>
      <c r="M9" s="89"/>
      <c r="N9" s="89"/>
      <c r="O9" s="89"/>
      <c r="P9" s="89"/>
    </row>
    <row r="10" spans="1:16" ht="18.600000000000001" x14ac:dyDescent="0.25">
      <c r="A10" s="574" t="s">
        <v>12</v>
      </c>
      <c r="B10" s="81" t="s">
        <v>12</v>
      </c>
      <c r="C10" s="76" t="s">
        <v>58</v>
      </c>
      <c r="D10" s="86">
        <f>'IIb. Balances de energía'!$G$15/('IIb. Balances de energía'!$F$15+'IIb. Balances de energía'!$G$15)</f>
        <v>0.35144613924561496</v>
      </c>
      <c r="E10" s="86">
        <f>'IIb. Balances de energía'!$G$26/('IIb. Balances de energía'!$F$26+'IIb. Balances de energía'!$G$26)</f>
        <v>0.35729351755279382</v>
      </c>
      <c r="F10" s="86">
        <f>'IIb. Balances de energía'!$G$37/('IIb. Balances de energía'!$F$37+'IIb. Balances de energía'!$G$37)</f>
        <v>0.39645862034534241</v>
      </c>
      <c r="G10" s="86">
        <f>'IIb. Balances de energía'!$G$48/('IIb. Balances de energía'!$F$48+'IIb. Balances de energía'!$G$48)</f>
        <v>0.39358081683408846</v>
      </c>
      <c r="H10" s="91">
        <f>'IIb. Balances de energía'!$G$59/('IIb. Balances de energía'!$F$59+'IIb. Balances de energía'!$G$59)</f>
        <v>0.41615528461193879</v>
      </c>
      <c r="I10" s="96">
        <f>'IIb. Balances de energía'!$G$70/('IIb. Balances de energía'!$F$70+'IIb. Balances de energía'!$G$70)</f>
        <v>0.37979277196436656</v>
      </c>
      <c r="K10" s="89"/>
      <c r="L10" s="89"/>
      <c r="M10" s="89"/>
      <c r="N10" s="89"/>
      <c r="O10" s="89"/>
      <c r="P10" s="89"/>
    </row>
    <row r="11" spans="1:16" ht="18.600000000000001" x14ac:dyDescent="0.25">
      <c r="A11" s="575"/>
      <c r="B11" s="82" t="s">
        <v>11</v>
      </c>
      <c r="C11" s="77" t="s">
        <v>59</v>
      </c>
      <c r="D11" s="87">
        <f>'IIb. Balances de energía'!$F$15/('IIb. Balances de energía'!$F$15+'IIb. Balances de energía'!$G$15)</f>
        <v>0.64855386075438504</v>
      </c>
      <c r="E11" s="87">
        <f>'IIb. Balances de energía'!$F$26/('IIb. Balances de energía'!$F$26+'IIb. Balances de energía'!$G$26)</f>
        <v>0.64270648244720618</v>
      </c>
      <c r="F11" s="87">
        <f>'IIb. Balances de energía'!$F$37/('IIb. Balances de energía'!$F$37+'IIb. Balances de energía'!$G$37)</f>
        <v>0.60354137965465748</v>
      </c>
      <c r="G11" s="87">
        <f>'IIb. Balances de energía'!$F$48/('IIb. Balances de energía'!$F$48+'IIb. Balances de energía'!$G$48)</f>
        <v>0.60641918316591148</v>
      </c>
      <c r="H11" s="92">
        <f>'IIb. Balances de energía'!$F$59/('IIb. Balances de energía'!$F$59+'IIb. Balances de energía'!$G$59)</f>
        <v>0.58384471538806126</v>
      </c>
      <c r="I11" s="97">
        <f>'IIb. Balances de energía'!$F$70/('IIb. Balances de energía'!$F$70+'IIb. Balances de energía'!$G$70)</f>
        <v>0.62020722803563344</v>
      </c>
      <c r="K11" s="89"/>
      <c r="L11" s="89"/>
      <c r="M11" s="89"/>
      <c r="N11" s="89"/>
      <c r="O11" s="89"/>
      <c r="P11" s="89"/>
    </row>
    <row r="12" spans="1:16" ht="17.399999999999999" x14ac:dyDescent="0.25">
      <c r="A12" s="574" t="s">
        <v>13</v>
      </c>
      <c r="B12" s="81" t="s">
        <v>13</v>
      </c>
      <c r="C12" s="76" t="s">
        <v>60</v>
      </c>
      <c r="D12" s="86">
        <f>'IIb. Balances de energía'!$G$14/SUM('IIb. Balances de energía'!$E$14:$G$14)</f>
        <v>0.18769864845040984</v>
      </c>
      <c r="E12" s="86">
        <f>'IIb. Balances de energía'!$G$25/SUM('IIb. Balances de energía'!$E$25:$G$25)</f>
        <v>0.20121176644367819</v>
      </c>
      <c r="F12" s="86">
        <f>'IIb. Balances de energía'!$G$36/SUM('IIb. Balances de energía'!$E$36:$G$36)</f>
        <v>0.22573572758771984</v>
      </c>
      <c r="G12" s="86">
        <f>'IIb. Balances de energía'!$G$47/SUM('IIb. Balances de energía'!$E$47:$G$47)</f>
        <v>0.19516664185176774</v>
      </c>
      <c r="H12" s="91">
        <f>'IIb. Balances de energía'!$G$58/SUM('IIb. Balances de energía'!$E$58:$G$58)</f>
        <v>0.25858470915618609</v>
      </c>
      <c r="I12" s="96">
        <f>'IIb. Balances de energía'!$G$69/SUM('IIb. Balances de energía'!$E$69:$G$69)</f>
        <v>0.23849061622916334</v>
      </c>
      <c r="K12" s="89"/>
      <c r="L12" s="89"/>
      <c r="M12" s="89"/>
      <c r="N12" s="89"/>
      <c r="O12" s="89"/>
      <c r="P12" s="89"/>
    </row>
    <row r="13" spans="1:16" ht="17.399999999999999" x14ac:dyDescent="0.25">
      <c r="A13" s="576"/>
      <c r="B13" s="81" t="s">
        <v>12</v>
      </c>
      <c r="C13" s="76" t="s">
        <v>61</v>
      </c>
      <c r="D13" s="86">
        <f>'IIb. Balances de energía'!$E$14/SUM('IIb. Balances de energía'!$E$14:$G$14)*D10</f>
        <v>0.28538912701768826</v>
      </c>
      <c r="E13" s="86">
        <f>'IIb. Balances de energía'!$E$25/SUM('IIb. Balances de energía'!$E$25:$G$25)*E10</f>
        <v>0.28530980276453094</v>
      </c>
      <c r="F13" s="86">
        <f>'IIb. Balances de energía'!$E$36/SUM('IIb. Balances de energía'!$E$36:$G$36)*F10</f>
        <v>0.30686808199990084</v>
      </c>
      <c r="G13" s="86">
        <f>'IIb. Balances de energía'!$E$47/SUM('IIb. Balances de energía'!$E$47:$G$47)*G10</f>
        <v>0.31664498180594197</v>
      </c>
      <c r="H13" s="91">
        <f>'IIb. Balances de energía'!$E$58/SUM('IIb. Balances de energía'!$E$58:$G$58)*H10</f>
        <v>0.30845661107712441</v>
      </c>
      <c r="I13" s="96">
        <f>'IIb. Balances de energía'!$E$69/SUM('IIb. Balances de energía'!$E$69:$G$69)*I10</f>
        <v>0.28912395957022291</v>
      </c>
      <c r="K13" s="89"/>
      <c r="L13" s="89"/>
      <c r="M13" s="89"/>
      <c r="N13" s="89"/>
      <c r="O13" s="89"/>
      <c r="P13" s="89"/>
    </row>
    <row r="14" spans="1:16" ht="17.399999999999999" x14ac:dyDescent="0.25">
      <c r="A14" s="575"/>
      <c r="B14" s="82" t="s">
        <v>11</v>
      </c>
      <c r="C14" s="77" t="s">
        <v>62</v>
      </c>
      <c r="D14" s="87">
        <f>'IIb. Balances de energía'!$F$14/SUM('IIb. Balances de energía'!$E$14:$G$14)+'IIb. Balances de energía'!$E$14/SUM('IIb. Balances de energía'!$E$14:$G$14)*D11</f>
        <v>0.5269122245319019</v>
      </c>
      <c r="E14" s="87">
        <f>'IIb. Balances de energía'!$F$25/SUM('IIb. Balances de energía'!$E$25:$G$25)+'IIb. Balances de energía'!$E$25/SUM('IIb. Balances de energía'!$E$25:$G$25)*E11</f>
        <v>0.51347843079179079</v>
      </c>
      <c r="F14" s="87">
        <f>'IIb. Balances de energía'!$F$36/SUM('IIb. Balances de energía'!$E$36:$G$36)+'IIb. Balances de energía'!$E$36/SUM('IIb. Balances de energía'!$E$36:$G$36)*F11</f>
        <v>0.46739619041237929</v>
      </c>
      <c r="G14" s="87">
        <f>'IIb. Balances de energía'!$F$47/SUM('IIb. Balances de energía'!$E$47:$G$47)+'IIb. Balances de energía'!$E$47/SUM('IIb. Balances de energía'!$E$47:$G$47)*G11</f>
        <v>0.48818837634229018</v>
      </c>
      <c r="H14" s="92">
        <f>'IIb. Balances de energía'!$F$58/SUM('IIb. Balances de energía'!$E$58:$G$58)+'IIb. Balances de energía'!$E$58/SUM('IIb. Balances de energía'!$E$58:$G$58)*H11</f>
        <v>0.43295867976668961</v>
      </c>
      <c r="I14" s="97">
        <f>'IIb. Balances de energía'!$F$69/SUM('IIb. Balances de energía'!$E$69:$G$69)+'IIb. Balances de energía'!$E$69/SUM('IIb. Balances de energía'!$E$69:$G$69)*I11</f>
        <v>0.47238542420061369</v>
      </c>
      <c r="K14" s="89"/>
      <c r="L14" s="89"/>
      <c r="M14" s="89"/>
      <c r="N14" s="89"/>
      <c r="O14" s="89"/>
      <c r="P14" s="89"/>
    </row>
    <row r="15" spans="1:16" ht="17.399999999999999" x14ac:dyDescent="0.25">
      <c r="A15" s="574" t="s">
        <v>14</v>
      </c>
      <c r="B15" s="81" t="s">
        <v>14</v>
      </c>
      <c r="C15" s="76" t="s">
        <v>63</v>
      </c>
      <c r="D15" s="86">
        <f>'IIb. Balances de energía'!$G$13/SUM('IIb. Balances de energía'!$C$13:$G$13)</f>
        <v>7.6583627496463358E-2</v>
      </c>
      <c r="E15" s="86">
        <f>'IIb. Balances de energía'!$G$24/SUM('IIb. Balances de energía'!$C$24:$G$24)</f>
        <v>8.4402977800747889E-2</v>
      </c>
      <c r="F15" s="86">
        <f>'IIb. Balances de energía'!$G$35/SUM('IIb. Balances de energía'!$C$35:$G$35)</f>
        <v>9.4098597398248177E-2</v>
      </c>
      <c r="G15" s="86">
        <f>'IIb. Balances de energía'!$G$46/SUM('IIb. Balances de energía'!$C$46:$G$46)</f>
        <v>9.6117998607460592E-2</v>
      </c>
      <c r="H15" s="91">
        <f>'IIb. Balances de energía'!$G$57/SUM('IIb. Balances de energía'!$C$57:$G$57)</f>
        <v>0.10381767592508116</v>
      </c>
      <c r="I15" s="96">
        <f>'IIb. Balances de energía'!$G$68/SUM('IIb. Balances de energía'!$C$68:$G$68)</f>
        <v>0.11971491726807479</v>
      </c>
      <c r="K15" s="89"/>
      <c r="L15" s="89"/>
      <c r="M15" s="89"/>
      <c r="N15" s="89"/>
      <c r="O15" s="89"/>
      <c r="P15" s="89"/>
    </row>
    <row r="16" spans="1:16" ht="17.399999999999999" x14ac:dyDescent="0.25">
      <c r="A16" s="576"/>
      <c r="B16" s="81" t="s">
        <v>13</v>
      </c>
      <c r="C16" s="76" t="s">
        <v>64</v>
      </c>
      <c r="D16" s="86">
        <f>'IIb. Balances de energía'!$D$13/SUM('IIb. Balances de energía'!$C$13:$G$13)*$D$12</f>
        <v>5.7372562685683796E-2</v>
      </c>
      <c r="E16" s="86">
        <f>'IIb. Balances de energía'!$D$24/SUM('IIb. Balances de energía'!$C$24:$G$24)*$E$12</f>
        <v>6.1359081789800367E-2</v>
      </c>
      <c r="F16" s="86">
        <f>'IIb. Balances de energía'!$D$35/SUM('IIb. Balances de energía'!$C$35:$G$35)*$F$12</f>
        <v>6.8936773804475812E-2</v>
      </c>
      <c r="G16" s="86">
        <f>'IIb. Balances de energía'!$D$46/SUM('IIb. Balances de energía'!$C$46:$G$46)*$G$12</f>
        <v>5.7176802667561206E-2</v>
      </c>
      <c r="H16" s="91">
        <f>'IIb. Balances de energía'!$D$57/SUM('IIb. Balances de energía'!$C$57:$G$57)*$H$12</f>
        <v>8.0273448196958308E-2</v>
      </c>
      <c r="I16" s="96">
        <f>'IIb. Balances de energía'!$D$68/SUM('IIb. Balances de energía'!$C$68:$G$68)*$I$12</f>
        <v>7.2376144106503157E-2</v>
      </c>
      <c r="K16" s="89"/>
      <c r="L16" s="89"/>
      <c r="M16" s="89"/>
      <c r="N16" s="89"/>
      <c r="O16" s="89"/>
      <c r="P16" s="89"/>
    </row>
    <row r="17" spans="1:16" ht="17.399999999999999" x14ac:dyDescent="0.25">
      <c r="A17" s="576"/>
      <c r="B17" s="81" t="s">
        <v>12</v>
      </c>
      <c r="C17" s="76" t="s">
        <v>65</v>
      </c>
      <c r="D17" s="86">
        <f>'IIb. Balances de energía'!$E$13/SUM('IIb. Balances de energía'!$C$13:$G$13)*$D$10+'IIb. Balances de energía'!$D$13/SUM('IIb. Balances de energía'!$C$13:$G$13)*$D$13</f>
        <v>0.30433992369810209</v>
      </c>
      <c r="E17" s="86">
        <f>'IIb. Balances de energía'!$E$24/SUM('IIb. Balances de energía'!$C$24:$G$24)*$E$10+'IIb. Balances de energía'!$D$24/SUM('IIb. Balances de energía'!$C$24:$G$24)*$E$13</f>
        <v>0.30518560659322957</v>
      </c>
      <c r="F17" s="86">
        <f>'IIb. Balances de energía'!$E$35/SUM('IIb. Balances de energía'!$C$35:$G$35)*$F$10+'IIb. Balances de energía'!$D$35/SUM('IIb. Balances de energía'!$C$35:$G$35)*$F$13</f>
        <v>0.33179262769875312</v>
      </c>
      <c r="G17" s="86">
        <f>'IIb. Balances de energía'!$E$46/SUM('IIb. Balances de energía'!$C$46:$G$46)*$G$10+'IIb. Balances de energía'!$D$46/SUM('IIb. Balances de energía'!$C$46:$G$46)*$G$13</f>
        <v>0.33321118542996897</v>
      </c>
      <c r="H17" s="91">
        <f>'IIb. Balances de energía'!$E$57/SUM('IIb. Balances de energía'!$C$57:$G$57)*$H$10+'IIb. Balances de energía'!$D$57/SUM('IIb. Balances de energía'!$C$57:$G$57)*$H$13</f>
        <v>0.339517695698491</v>
      </c>
      <c r="I17" s="96">
        <f>'IIb. Balances de energía'!$E$68/SUM('IIb. Balances de energía'!$C$68:$G$68)*$I$10+'IIb. Balances de energía'!$D$68/SUM('IIb. Balances de energía'!$C$68:$G$68)*$I$13</f>
        <v>0.30681011616039988</v>
      </c>
      <c r="K17" s="89"/>
      <c r="L17" s="89"/>
      <c r="M17" s="89"/>
      <c r="N17" s="89"/>
      <c r="O17" s="89"/>
      <c r="P17" s="89"/>
    </row>
    <row r="18" spans="1:16" ht="16.2" x14ac:dyDescent="0.25">
      <c r="A18" s="575"/>
      <c r="B18" s="82" t="s">
        <v>11</v>
      </c>
      <c r="C18" s="77" t="s">
        <v>66</v>
      </c>
      <c r="D18" s="87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0.56170388611975075</v>
      </c>
      <c r="E18" s="87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0.54905233381622209</v>
      </c>
      <c r="F18" s="87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0.50517200109852278</v>
      </c>
      <c r="G18" s="87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0.5134940132950091</v>
      </c>
      <c r="H18" s="9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0.4763911801794698</v>
      </c>
      <c r="I18" s="97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0.50109882246502213</v>
      </c>
      <c r="K18" s="89"/>
      <c r="L18" s="89"/>
      <c r="M18" s="89"/>
      <c r="N18" s="89"/>
      <c r="O18" s="89"/>
      <c r="P18" s="89"/>
    </row>
    <row r="19" spans="1:16" ht="17.399999999999999" x14ac:dyDescent="0.25">
      <c r="A19" s="574" t="s">
        <v>15</v>
      </c>
      <c r="B19" s="81" t="s">
        <v>15</v>
      </c>
      <c r="C19" s="76" t="s">
        <v>67</v>
      </c>
      <c r="D19" s="86">
        <f>'IIb. Balances de energía'!$G$12/SUM('IIb. Balances de energía'!$C$12:$G$12)</f>
        <v>9.3311448852489848E-2</v>
      </c>
      <c r="E19" s="86">
        <f>'IIb. Balances de energía'!$G$23/SUM('IIb. Balances de energía'!$C$23:$G$23)</f>
        <v>0.10612081521209225</v>
      </c>
      <c r="F19" s="86">
        <f>'IIb. Balances de energía'!$G$34/SUM('IIb. Balances de energía'!$C$34:$G$34)</f>
        <v>0.10672343734675509</v>
      </c>
      <c r="G19" s="86">
        <f>'IIb. Balances de energía'!$G$45/SUM('IIb. Balances de energía'!$C$45:$G$45)</f>
        <v>0.1323052287646885</v>
      </c>
      <c r="H19" s="91">
        <f>'IIb. Balances de energía'!$G$56/SUM('IIb. Balances de energía'!$C$56:$G$56)</f>
        <v>0.11214395980896369</v>
      </c>
      <c r="I19" s="96">
        <f>'IIb. Balances de energía'!$G$67/SUM('IIb. Balances de energía'!$C$67:$G$67)</f>
        <v>0.16054179828340306</v>
      </c>
      <c r="K19" s="89"/>
      <c r="L19" s="89"/>
      <c r="M19" s="89"/>
      <c r="N19" s="89"/>
      <c r="O19" s="89"/>
      <c r="P19" s="89"/>
    </row>
    <row r="20" spans="1:16" ht="17.399999999999999" x14ac:dyDescent="0.25">
      <c r="A20" s="576"/>
      <c r="B20" s="81" t="s">
        <v>14</v>
      </c>
      <c r="C20" s="76" t="s">
        <v>68</v>
      </c>
      <c r="D20" s="86">
        <f>'IIb. Balances de energía'!$C$12/SUM('IIb. Balances de energía'!$C$12:$G$12)*D15</f>
        <v>3.3077918734694525E-2</v>
      </c>
      <c r="E20" s="86">
        <f>'IIb. Balances de energía'!$C$23/SUM('IIb. Balances de energía'!$C$23:$G$23)*E15</f>
        <v>3.592059058602394E-2</v>
      </c>
      <c r="F20" s="86">
        <f>'IIb. Balances de energía'!$C$34/SUM('IIb. Balances de energía'!$C$34:$G$34)*F15</f>
        <v>4.0840027618163625E-2</v>
      </c>
      <c r="G20" s="86">
        <f>'IIb. Balances de energía'!$C$45/SUM('IIb. Balances de energía'!$C$45:$G$45)*G15</f>
        <v>3.878317275125058E-2</v>
      </c>
      <c r="H20" s="91">
        <f>'IIb. Balances de energía'!$C$56/SUM('IIb. Balances de energía'!$C$56:$G$56)*H15</f>
        <v>4.6206772754393888E-2</v>
      </c>
      <c r="I20" s="96">
        <f>'IIb. Balances de energía'!$C$67/SUM('IIb. Balances de energía'!$C$67:$G$67)*I15</f>
        <v>4.9789410349157431E-2</v>
      </c>
      <c r="K20" s="89"/>
      <c r="L20" s="89"/>
      <c r="M20" s="89"/>
      <c r="N20" s="89"/>
      <c r="O20" s="89"/>
      <c r="P20" s="89"/>
    </row>
    <row r="21" spans="1:16" ht="17.399999999999999" x14ac:dyDescent="0.25">
      <c r="A21" s="576"/>
      <c r="B21" s="81" t="s">
        <v>13</v>
      </c>
      <c r="C21" s="76" t="s">
        <v>69</v>
      </c>
      <c r="D21" s="86">
        <f>'IIb. Balances de energía'!$D$12/SUM('IIb. Balances de energía'!$C$12:$G$12)*D12+'IIb. Balances de energía'!$C$12/SUM('IIb. Balances de energía'!$C$12:$G$12)*D16</f>
        <v>6.9637582922362232E-2</v>
      </c>
      <c r="E21" s="86">
        <f>'IIb. Balances de energía'!$D$23/SUM('IIb. Balances de energía'!$C$23:$G$23)*E12+'IIb. Balances de energía'!$C$23/SUM('IIb. Balances de energía'!$C$23:$G$23)*E16</f>
        <v>7.3265371293905854E-2</v>
      </c>
      <c r="F21" s="86">
        <f>'IIb. Balances de energía'!$D$34/SUM('IIb. Balances de energía'!$C$34:$G$34)*F12+'IIb. Balances de energía'!$C$34/SUM('IIb. Balances de energía'!$C$34:$G$34)*F16</f>
        <v>8.1887920643897605E-2</v>
      </c>
      <c r="G21" s="86">
        <f>'IIb. Balances de energía'!$D$45/SUM('IIb. Balances de energía'!$C$45:$G$45)*G12+'IIb. Balances de energía'!$C$45/SUM('IIb. Balances de energía'!$C$45:$G$45)*G16</f>
        <v>6.8806404310407909E-2</v>
      </c>
      <c r="H21" s="91">
        <f>'IIb. Balances de energía'!$D$56/SUM('IIb. Balances de energía'!$C$56:$G$56)*H12+'IIb. Balances de energía'!$C$56/SUM('IIb. Balances de energía'!$C$56:$G$56)*H16</f>
        <v>9.3405360686143163E-2</v>
      </c>
      <c r="I21" s="96">
        <f>'IIb. Balances de energía'!$D$67/SUM('IIb. Balances de energía'!$C$67:$G$67)*I12+'IIb. Balances de energía'!$C$67/SUM('IIb. Balances de energía'!$C$67:$G$67)*I16</f>
        <v>8.0725720045594279E-2</v>
      </c>
      <c r="K21" s="89"/>
      <c r="L21" s="89"/>
      <c r="M21" s="89"/>
      <c r="N21" s="89"/>
      <c r="O21" s="89"/>
      <c r="P21" s="89"/>
    </row>
    <row r="22" spans="1:16" ht="17.399999999999999" x14ac:dyDescent="0.25">
      <c r="A22" s="576"/>
      <c r="B22" s="81" t="s">
        <v>12</v>
      </c>
      <c r="C22" s="76" t="s">
        <v>70</v>
      </c>
      <c r="D22" s="86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0.28251944523383876</v>
      </c>
      <c r="E22" s="86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0.28033228268699384</v>
      </c>
      <c r="F22" s="86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0.305455937767727</v>
      </c>
      <c r="G22" s="86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0.29911981583024094</v>
      </c>
      <c r="H22" s="9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0.31135412878827556</v>
      </c>
      <c r="I22" s="96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0.26922038115590829</v>
      </c>
      <c r="K22" s="89"/>
      <c r="L22" s="89"/>
      <c r="M22" s="89"/>
      <c r="N22" s="89"/>
      <c r="O22" s="89"/>
      <c r="P22" s="89"/>
    </row>
    <row r="23" spans="1:16" ht="18" thickBot="1" x14ac:dyDescent="0.3">
      <c r="A23" s="577"/>
      <c r="B23" s="83" t="s">
        <v>11</v>
      </c>
      <c r="C23" s="78" t="s">
        <v>71</v>
      </c>
      <c r="D23" s="88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0.52145360425661469</v>
      </c>
      <c r="E23" s="88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0.5043609402209841</v>
      </c>
      <c r="F23" s="88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0.46509267662345666</v>
      </c>
      <c r="G23" s="88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0.46098537834341191</v>
      </c>
      <c r="H23" s="9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0.43688977796222372</v>
      </c>
      <c r="I23" s="98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0.4397226901659369</v>
      </c>
      <c r="K23" s="89"/>
      <c r="L23" s="89"/>
      <c r="M23" s="89"/>
      <c r="N23" s="89"/>
      <c r="O23" s="89"/>
      <c r="P23" s="89"/>
    </row>
    <row r="25" spans="1:16" x14ac:dyDescent="0.25">
      <c r="D25" s="94"/>
      <c r="E25" s="94"/>
      <c r="F25" s="94"/>
      <c r="G25" s="94"/>
      <c r="H25" s="94"/>
      <c r="I25" s="94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topLeftCell="A78" workbookViewId="0">
      <selection activeCell="K107" sqref="K107"/>
    </sheetView>
  </sheetViews>
  <sheetFormatPr baseColWidth="10" defaultColWidth="11.44140625" defaultRowHeight="13.2" x14ac:dyDescent="0.25"/>
  <cols>
    <col min="1" max="1" width="13.88671875" style="100" customWidth="1"/>
    <col min="2" max="8" width="13.6640625" style="100" customWidth="1"/>
    <col min="9" max="9" width="11.88671875" style="100" bestFit="1" customWidth="1"/>
    <col min="10" max="10" width="13.88671875" style="100" bestFit="1" customWidth="1"/>
    <col min="11" max="11" width="11.44140625" style="100"/>
    <col min="12" max="12" width="11.88671875" style="100" bestFit="1" customWidth="1"/>
    <col min="13" max="16384" width="11.44140625" style="100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x14ac:dyDescent="0.25"/>
    <row r="5" spans="1:10" s="1" customFormat="1" x14ac:dyDescent="0.25"/>
    <row r="6" spans="1:10" s="402" customFormat="1" ht="30" customHeight="1" x14ac:dyDescent="0.25">
      <c r="A6" s="402" t="s">
        <v>191</v>
      </c>
    </row>
    <row r="7" spans="1:10" ht="7.5" customHeight="1" thickBot="1" x14ac:dyDescent="0.3"/>
    <row r="8" spans="1:10" ht="24" customHeight="1" x14ac:dyDescent="0.25">
      <c r="D8" s="110" t="s">
        <v>25</v>
      </c>
      <c r="E8" s="112" t="s">
        <v>85</v>
      </c>
      <c r="F8" s="113"/>
      <c r="G8" s="113"/>
      <c r="H8" s="114"/>
      <c r="J8" s="583" t="s">
        <v>94</v>
      </c>
    </row>
    <row r="9" spans="1:10" ht="24" customHeight="1" thickBot="1" x14ac:dyDescent="0.3">
      <c r="D9" s="111" t="s">
        <v>15</v>
      </c>
      <c r="E9" s="115" t="s">
        <v>14</v>
      </c>
      <c r="F9" s="116" t="s">
        <v>86</v>
      </c>
      <c r="G9" s="116" t="s">
        <v>87</v>
      </c>
      <c r="H9" s="117" t="s">
        <v>11</v>
      </c>
      <c r="J9" s="584"/>
    </row>
    <row r="10" spans="1:10" s="101" customFormat="1" ht="42" customHeight="1" x14ac:dyDescent="0.25">
      <c r="A10" s="593" t="s">
        <v>88</v>
      </c>
      <c r="B10" s="594"/>
      <c r="C10" s="595"/>
      <c r="D10" s="102">
        <f>'I. Datos de entrada'!C14</f>
        <v>1630898.616605636</v>
      </c>
      <c r="E10" s="103">
        <f>'I. Datos de entrada'!$C$30*E11</f>
        <v>496656.78770419996</v>
      </c>
      <c r="F10" s="104">
        <f>'I. Datos de entrada'!$C$30*F11</f>
        <v>606966.87423639593</v>
      </c>
      <c r="G10" s="104">
        <f>'I. Datos de entrada'!$C$30*G11</f>
        <v>2120985.8818062521</v>
      </c>
      <c r="H10" s="105">
        <f>'I. Datos de entrada'!$C$30*H11</f>
        <v>2003356.6426131518</v>
      </c>
      <c r="J10" s="158">
        <f>SUM(D10:H10)</f>
        <v>6858864.8029656354</v>
      </c>
    </row>
    <row r="11" spans="1:10" s="29" customFormat="1" ht="42" customHeight="1" thickBot="1" x14ac:dyDescent="0.3">
      <c r="A11" s="596" t="s">
        <v>89</v>
      </c>
      <c r="B11" s="597"/>
      <c r="C11" s="598"/>
      <c r="D11" s="106">
        <v>1</v>
      </c>
      <c r="E11" s="107">
        <f>'I. Datos de entrada'!B44</f>
        <v>9.5000000000000001E-2</v>
      </c>
      <c r="F11" s="108">
        <f>'I. Datos de entrada'!B43</f>
        <v>0.11609999999999999</v>
      </c>
      <c r="G11" s="108">
        <f>'I. Datos de entrada'!B42</f>
        <v>0.40570000000000001</v>
      </c>
      <c r="H11" s="109">
        <f>'I. Datos de entrada'!B41</f>
        <v>0.38319999999999999</v>
      </c>
      <c r="J11" s="157"/>
    </row>
    <row r="14" spans="1:10" s="402" customFormat="1" ht="30" customHeight="1" x14ac:dyDescent="0.25">
      <c r="A14" s="402" t="s">
        <v>192</v>
      </c>
    </row>
    <row r="15" spans="1:10" ht="13.8" thickBot="1" x14ac:dyDescent="0.3"/>
    <row r="16" spans="1:10" ht="24" customHeight="1" x14ac:dyDescent="0.25">
      <c r="D16" s="110" t="s">
        <v>25</v>
      </c>
      <c r="E16" s="112" t="s">
        <v>85</v>
      </c>
      <c r="F16" s="113"/>
      <c r="G16" s="113"/>
      <c r="H16" s="114"/>
      <c r="J16" s="583" t="s">
        <v>94</v>
      </c>
    </row>
    <row r="17" spans="1:12" ht="24" customHeight="1" thickBot="1" x14ac:dyDescent="0.3">
      <c r="D17" s="153" t="s">
        <v>15</v>
      </c>
      <c r="E17" s="154" t="s">
        <v>14</v>
      </c>
      <c r="F17" s="155" t="s">
        <v>86</v>
      </c>
      <c r="G17" s="155" t="s">
        <v>87</v>
      </c>
      <c r="H17" s="156" t="s">
        <v>11</v>
      </c>
      <c r="J17" s="584"/>
    </row>
    <row r="18" spans="1:12" ht="13.8" thickBot="1" x14ac:dyDescent="0.3"/>
    <row r="19" spans="1:12" ht="45.75" customHeight="1" x14ac:dyDescent="0.25">
      <c r="A19" s="587" t="s">
        <v>90</v>
      </c>
      <c r="B19" s="588"/>
      <c r="C19" s="589"/>
      <c r="D19" s="119">
        <f>'I. Datos de entrada'!$B$59</f>
        <v>0.75</v>
      </c>
      <c r="E19" s="120">
        <f>'I. Datos de entrada'!$B$58</f>
        <v>0.75</v>
      </c>
      <c r="F19" s="120">
        <f>'I. Datos de entrada'!$B$57</f>
        <v>0.75</v>
      </c>
      <c r="G19" s="120">
        <f>'I. Datos de entrada'!$B$56</f>
        <v>0.75</v>
      </c>
      <c r="H19" s="121">
        <f>'I. Datos de entrada'!$B$55</f>
        <v>1</v>
      </c>
      <c r="J19" s="122">
        <f>J20/SUM(D10:H10)</f>
        <v>0.82302070751368872</v>
      </c>
    </row>
    <row r="20" spans="1:12" ht="42.75" customHeight="1" thickBot="1" x14ac:dyDescent="0.3">
      <c r="A20" s="590" t="s">
        <v>91</v>
      </c>
      <c r="B20" s="591"/>
      <c r="C20" s="592"/>
      <c r="D20" s="123">
        <f>D10*D19</f>
        <v>1223173.962454227</v>
      </c>
      <c r="E20" s="124">
        <f>E10*E19</f>
        <v>372492.59077814996</v>
      </c>
      <c r="F20" s="124">
        <f>F10*F19</f>
        <v>455225.15567729692</v>
      </c>
      <c r="G20" s="124">
        <f>G10*G19</f>
        <v>1590739.4113546889</v>
      </c>
      <c r="H20" s="125">
        <f>H10*H19</f>
        <v>2003356.6426131518</v>
      </c>
      <c r="J20" s="126">
        <f>SUM(D20:H20)</f>
        <v>5644987.7628775146</v>
      </c>
    </row>
    <row r="21" spans="1:12" ht="9.75" customHeight="1" thickBot="1" x14ac:dyDescent="0.3">
      <c r="A21" s="127"/>
      <c r="D21" s="127"/>
      <c r="E21" s="127"/>
      <c r="F21" s="127"/>
      <c r="G21" s="127"/>
      <c r="H21" s="127"/>
      <c r="J21" s="127"/>
    </row>
    <row r="22" spans="1:12" ht="43.5" customHeight="1" x14ac:dyDescent="0.25">
      <c r="A22" s="587" t="s">
        <v>92</v>
      </c>
      <c r="B22" s="588"/>
      <c r="C22" s="589"/>
      <c r="D22" s="119">
        <f>1-D19</f>
        <v>0.25</v>
      </c>
      <c r="E22" s="120">
        <f>1-E19</f>
        <v>0.25</v>
      </c>
      <c r="F22" s="120">
        <f>1-F19</f>
        <v>0.25</v>
      </c>
      <c r="G22" s="120">
        <f>1-G19</f>
        <v>0.25</v>
      </c>
      <c r="H22" s="121">
        <f>1-H19</f>
        <v>0</v>
      </c>
      <c r="J22" s="122">
        <f>J23/SUM(D10:H10)</f>
        <v>0.17697929248631125</v>
      </c>
    </row>
    <row r="23" spans="1:12" ht="51.75" customHeight="1" thickBot="1" x14ac:dyDescent="0.3">
      <c r="A23" s="590" t="s">
        <v>93</v>
      </c>
      <c r="B23" s="591"/>
      <c r="C23" s="592"/>
      <c r="D23" s="123">
        <f>D10*D22</f>
        <v>407724.65415140899</v>
      </c>
      <c r="E23" s="124">
        <f>E10*E22</f>
        <v>124164.19692604999</v>
      </c>
      <c r="F23" s="124">
        <f>F10*F22</f>
        <v>151741.71855909898</v>
      </c>
      <c r="G23" s="124">
        <f>G10*G22</f>
        <v>530246.47045156301</v>
      </c>
      <c r="H23" s="125">
        <f>H10*H22</f>
        <v>0</v>
      </c>
      <c r="J23" s="126">
        <f>SUM(D23:H23)</f>
        <v>1213877.0400881208</v>
      </c>
    </row>
    <row r="26" spans="1:12" s="402" customFormat="1" ht="30" customHeight="1" x14ac:dyDescent="0.25">
      <c r="A26" s="402" t="s">
        <v>193</v>
      </c>
    </row>
    <row r="28" spans="1:12" s="404" customFormat="1" ht="17.399999999999999" x14ac:dyDescent="0.35">
      <c r="A28" s="403" t="s">
        <v>199</v>
      </c>
    </row>
    <row r="29" spans="1:12" ht="13.8" thickBot="1" x14ac:dyDescent="0.3"/>
    <row r="30" spans="1:12" ht="30" customHeight="1" thickBot="1" x14ac:dyDescent="0.3">
      <c r="B30" s="128" t="s">
        <v>97</v>
      </c>
      <c r="C30" s="129"/>
      <c r="D30" s="130"/>
      <c r="E30" s="130"/>
      <c r="F30" s="129"/>
      <c r="H30" s="128" t="s">
        <v>95</v>
      </c>
      <c r="I30" s="129"/>
      <c r="J30" s="130"/>
      <c r="K30" s="130"/>
      <c r="L30" s="129"/>
    </row>
    <row r="31" spans="1:12" ht="6.75" customHeight="1" thickBot="1" x14ac:dyDescent="0.3"/>
    <row r="32" spans="1:12" ht="21" customHeight="1" x14ac:dyDescent="0.25">
      <c r="A32" s="585" t="s">
        <v>96</v>
      </c>
      <c r="B32" s="164" t="s">
        <v>0</v>
      </c>
      <c r="C32" s="131"/>
      <c r="D32" s="131"/>
      <c r="E32" s="131"/>
      <c r="F32" s="132"/>
      <c r="H32" s="133" t="s">
        <v>0</v>
      </c>
      <c r="I32" s="131"/>
      <c r="J32" s="131"/>
      <c r="K32" s="131"/>
      <c r="L32" s="132"/>
    </row>
    <row r="33" spans="1:12" ht="21" customHeight="1" x14ac:dyDescent="0.25">
      <c r="A33" s="586"/>
      <c r="B33" s="165">
        <v>0</v>
      </c>
      <c r="C33" s="134">
        <v>1</v>
      </c>
      <c r="D33" s="134">
        <v>2</v>
      </c>
      <c r="E33" s="134">
        <v>3</v>
      </c>
      <c r="F33" s="135">
        <v>4</v>
      </c>
      <c r="H33" s="136">
        <v>0</v>
      </c>
      <c r="I33" s="134">
        <v>1</v>
      </c>
      <c r="J33" s="134">
        <v>2</v>
      </c>
      <c r="K33" s="134">
        <v>3</v>
      </c>
      <c r="L33" s="135">
        <v>4</v>
      </c>
    </row>
    <row r="34" spans="1:12" ht="18" customHeight="1" x14ac:dyDescent="0.25">
      <c r="A34" s="161" t="s">
        <v>16</v>
      </c>
      <c r="B34" s="159">
        <f>'I. Datos de entrada'!B70</f>
        <v>0.34882558720639678</v>
      </c>
      <c r="C34" s="137">
        <f>'I. Datos de entrada'!C70</f>
        <v>0.35199999999999998</v>
      </c>
      <c r="D34" s="137">
        <f>'I. Datos de entrada'!D70</f>
        <v>0.34399999999999997</v>
      </c>
      <c r="E34" s="137">
        <f>'I. Datos de entrada'!E70</f>
        <v>0.34699999999999998</v>
      </c>
      <c r="F34" s="138">
        <f>'I. Datos de entrada'!F70</f>
        <v>0.34399999999999997</v>
      </c>
      <c r="H34" s="139">
        <f>H$20*B34</f>
        <v>698822.05724336824</v>
      </c>
      <c r="I34" s="140">
        <f>G$20*C34</f>
        <v>559940.27279685042</v>
      </c>
      <c r="J34" s="140">
        <f t="shared" ref="J34:J39" si="0">F$20*D34</f>
        <v>156597.45355299013</v>
      </c>
      <c r="K34" s="140">
        <f t="shared" ref="K34:K39" si="1">E$20*E34</f>
        <v>129254.92900001802</v>
      </c>
      <c r="L34" s="141">
        <f t="shared" ref="L34:L39" si="2">D$20*F34</f>
        <v>420771.84308425407</v>
      </c>
    </row>
    <row r="35" spans="1:12" ht="18" customHeight="1" x14ac:dyDescent="0.25">
      <c r="A35" s="162" t="s">
        <v>17</v>
      </c>
      <c r="B35" s="159">
        <f>'I. Datos de entrada'!B71</f>
        <v>0.32333833083458269</v>
      </c>
      <c r="C35" s="137">
        <f>'I. Datos de entrada'!C71</f>
        <v>0.33800000000000002</v>
      </c>
      <c r="D35" s="137">
        <f>'I. Datos de entrada'!D71</f>
        <v>0.33350000000000002</v>
      </c>
      <c r="E35" s="137">
        <f>'I. Datos de entrada'!E71</f>
        <v>0.34749999999999998</v>
      </c>
      <c r="F35" s="138">
        <f>'I. Datos de entrada'!F71</f>
        <v>0.33700000000000002</v>
      </c>
      <c r="H35" s="139">
        <f t="shared" ref="H35:H39" si="3">H$20*B35</f>
        <v>647761.99288891011</v>
      </c>
      <c r="I35" s="140">
        <f t="shared" ref="I35:I39" si="4">G$20*C35</f>
        <v>537669.92103788489</v>
      </c>
      <c r="J35" s="140">
        <f t="shared" si="0"/>
        <v>151817.58941837854</v>
      </c>
      <c r="K35" s="140">
        <f t="shared" si="1"/>
        <v>129441.1752954071</v>
      </c>
      <c r="L35" s="141">
        <f t="shared" si="2"/>
        <v>412209.62534707453</v>
      </c>
    </row>
    <row r="36" spans="1:12" ht="18" customHeight="1" x14ac:dyDescent="0.25">
      <c r="A36" s="162" t="s">
        <v>18</v>
      </c>
      <c r="B36" s="159">
        <f>'I. Datos de entrada'!B72</f>
        <v>0.11344327836081959</v>
      </c>
      <c r="C36" s="137">
        <f>'I. Datos de entrada'!C72</f>
        <v>0.16450000000000001</v>
      </c>
      <c r="D36" s="137">
        <f>'I. Datos de entrada'!D72</f>
        <v>0.13450000000000001</v>
      </c>
      <c r="E36" s="137">
        <f>'I. Datos de entrada'!E72</f>
        <v>0.17849999999999999</v>
      </c>
      <c r="F36" s="138">
        <f>'I. Datos de entrada'!F72</f>
        <v>0.158</v>
      </c>
      <c r="H36" s="139">
        <f t="shared" si="3"/>
        <v>227267.34526396074</v>
      </c>
      <c r="I36" s="140">
        <f t="shared" si="4"/>
        <v>261676.63316784633</v>
      </c>
      <c r="J36" s="140">
        <f t="shared" si="0"/>
        <v>61227.783438596438</v>
      </c>
      <c r="K36" s="140">
        <f t="shared" si="1"/>
        <v>66489.927453899771</v>
      </c>
      <c r="L36" s="141">
        <f t="shared" si="2"/>
        <v>193261.48606776787</v>
      </c>
    </row>
    <row r="37" spans="1:12" ht="18" customHeight="1" x14ac:dyDescent="0.25">
      <c r="A37" s="162" t="s">
        <v>19</v>
      </c>
      <c r="B37" s="159">
        <f>'I. Datos de entrada'!B73</f>
        <v>8.395802098950525E-2</v>
      </c>
      <c r="C37" s="137">
        <f>'I. Datos de entrada'!C73</f>
        <v>0.124</v>
      </c>
      <c r="D37" s="137">
        <f>'I. Datos de entrada'!D73</f>
        <v>0.17100000000000001</v>
      </c>
      <c r="E37" s="137">
        <f>'I. Datos de entrada'!E73</f>
        <v>6.6500000000000004E-2</v>
      </c>
      <c r="F37" s="138">
        <f>'I. Datos de entrada'!F73</f>
        <v>0.1235</v>
      </c>
      <c r="H37" s="139">
        <f t="shared" si="3"/>
        <v>168197.85904997977</v>
      </c>
      <c r="I37" s="140">
        <f t="shared" si="4"/>
        <v>197251.68700798144</v>
      </c>
      <c r="J37" s="140">
        <f t="shared" si="0"/>
        <v>77843.501620817784</v>
      </c>
      <c r="K37" s="140">
        <f t="shared" si="1"/>
        <v>24770.757286746972</v>
      </c>
      <c r="L37" s="141">
        <f t="shared" si="2"/>
        <v>151061.98436309703</v>
      </c>
    </row>
    <row r="38" spans="1:12" ht="18" customHeight="1" x14ac:dyDescent="0.25">
      <c r="A38" s="162" t="s">
        <v>20</v>
      </c>
      <c r="B38" s="159">
        <f>'I. Datos de entrada'!B74</f>
        <v>4.9975012493753122E-4</v>
      </c>
      <c r="C38" s="530">
        <f>'I. Datos de entrada'!C74</f>
        <v>5.0000000000000001E-4</v>
      </c>
      <c r="D38" s="530">
        <f>'I. Datos de entrada'!D74</f>
        <v>5.0000000000000001E-4</v>
      </c>
      <c r="E38" s="137">
        <f>'I. Datos de entrada'!E74</f>
        <v>6.4999999999999997E-3</v>
      </c>
      <c r="F38" s="138">
        <f>'I. Datos de entrada'!F74</f>
        <v>2E-3</v>
      </c>
      <c r="H38" s="139">
        <f t="shared" si="3"/>
        <v>1001.1777324403557</v>
      </c>
      <c r="I38" s="140">
        <f>G$20*C38</f>
        <v>795.36970567734443</v>
      </c>
      <c r="J38" s="140">
        <f t="shared" si="0"/>
        <v>227.61257783864846</v>
      </c>
      <c r="K38" s="140">
        <f t="shared" si="1"/>
        <v>2421.2018400579746</v>
      </c>
      <c r="L38" s="141">
        <f t="shared" si="2"/>
        <v>2446.3479249084539</v>
      </c>
    </row>
    <row r="39" spans="1:12" ht="18" customHeight="1" thickBot="1" x14ac:dyDescent="0.3">
      <c r="A39" s="163" t="s">
        <v>21</v>
      </c>
      <c r="B39" s="160">
        <f>'I. Datos de entrada'!B75</f>
        <v>0.12993503248375812</v>
      </c>
      <c r="C39" s="142">
        <f>'I. Datos de entrada'!C75</f>
        <v>2.1000000000000001E-2</v>
      </c>
      <c r="D39" s="142">
        <f>'I. Datos de entrada'!D75</f>
        <v>1.6500000000000001E-2</v>
      </c>
      <c r="E39" s="142">
        <f>'I. Datos de entrada'!E75</f>
        <v>5.3999999999999999E-2</v>
      </c>
      <c r="F39" s="143">
        <f>'I. Datos de entrada'!F75</f>
        <v>3.5499999999999997E-2</v>
      </c>
      <c r="H39" s="144">
        <f t="shared" si="3"/>
        <v>260306.2104344925</v>
      </c>
      <c r="I39" s="145">
        <f t="shared" si="4"/>
        <v>33405.527638448468</v>
      </c>
      <c r="J39" s="145">
        <f t="shared" si="0"/>
        <v>7511.2150686753994</v>
      </c>
      <c r="K39" s="145">
        <f t="shared" si="1"/>
        <v>20114.599902020098</v>
      </c>
      <c r="L39" s="146">
        <f t="shared" si="2"/>
        <v>43422.675667125055</v>
      </c>
    </row>
    <row r="40" spans="1:12" ht="5.0999999999999996" customHeight="1" thickBot="1" x14ac:dyDescent="0.3">
      <c r="B40" s="147"/>
      <c r="C40" s="147"/>
      <c r="D40" s="147"/>
      <c r="E40" s="147"/>
      <c r="F40" s="147"/>
      <c r="H40" s="148"/>
      <c r="I40" s="148"/>
      <c r="J40" s="148"/>
      <c r="K40" s="148"/>
      <c r="L40" s="148"/>
    </row>
    <row r="41" spans="1:12" ht="18" customHeight="1" thickBot="1" x14ac:dyDescent="0.3">
      <c r="A41" s="68" t="s">
        <v>1</v>
      </c>
      <c r="B41" s="166">
        <f>SUM(B34:B40)</f>
        <v>1</v>
      </c>
      <c r="C41" s="149">
        <f>SUM(C34:C40)</f>
        <v>0.99999999999999989</v>
      </c>
      <c r="D41" s="149">
        <f>SUM(D34:D40)</f>
        <v>1</v>
      </c>
      <c r="E41" s="149">
        <f>SUM(E34:E40)</f>
        <v>0.99999999999999989</v>
      </c>
      <c r="F41" s="46">
        <f>SUM(F34:F40)</f>
        <v>1.0000000000000002</v>
      </c>
      <c r="H41" s="150">
        <f>SUM(H34:H39)</f>
        <v>2003356.6426131518</v>
      </c>
      <c r="I41" s="151">
        <f t="shared" ref="I41:L41" si="5">SUM(I34:I39)</f>
        <v>1590739.4113546887</v>
      </c>
      <c r="J41" s="151">
        <f t="shared" si="5"/>
        <v>455225.15567729692</v>
      </c>
      <c r="K41" s="151">
        <f t="shared" si="5"/>
        <v>372492.5907781499</v>
      </c>
      <c r="L41" s="152">
        <f t="shared" si="5"/>
        <v>1223173.962454227</v>
      </c>
    </row>
    <row r="44" spans="1:12" s="404" customFormat="1" ht="17.399999999999999" x14ac:dyDescent="0.35">
      <c r="A44" s="403" t="s">
        <v>200</v>
      </c>
    </row>
    <row r="45" spans="1:12" ht="13.8" thickBot="1" x14ac:dyDescent="0.3"/>
    <row r="46" spans="1:12" ht="30" customHeight="1" thickBot="1" x14ac:dyDescent="0.3">
      <c r="B46" s="128" t="s">
        <v>97</v>
      </c>
      <c r="C46" s="129"/>
      <c r="D46" s="130"/>
      <c r="E46" s="130"/>
      <c r="F46" s="129"/>
      <c r="H46" s="128" t="s">
        <v>95</v>
      </c>
      <c r="I46" s="129"/>
      <c r="J46" s="130"/>
      <c r="K46" s="130"/>
      <c r="L46" s="129"/>
    </row>
    <row r="47" spans="1:12" ht="6.75" customHeight="1" thickBot="1" x14ac:dyDescent="0.3"/>
    <row r="48" spans="1:12" ht="21" customHeight="1" x14ac:dyDescent="0.25">
      <c r="A48" s="585" t="s">
        <v>96</v>
      </c>
      <c r="B48" s="164" t="s">
        <v>0</v>
      </c>
      <c r="C48" s="131"/>
      <c r="D48" s="131"/>
      <c r="E48" s="131"/>
      <c r="F48" s="132"/>
      <c r="H48" s="133" t="s">
        <v>0</v>
      </c>
      <c r="I48" s="131"/>
      <c r="J48" s="131"/>
      <c r="K48" s="131"/>
      <c r="L48" s="132"/>
    </row>
    <row r="49" spans="1:15" ht="21" customHeight="1" x14ac:dyDescent="0.25">
      <c r="A49" s="586"/>
      <c r="B49" s="165">
        <v>0</v>
      </c>
      <c r="C49" s="134">
        <v>1</v>
      </c>
      <c r="D49" s="134">
        <v>2</v>
      </c>
      <c r="E49" s="134">
        <v>3</v>
      </c>
      <c r="F49" s="135">
        <v>4</v>
      </c>
      <c r="H49" s="136">
        <v>0</v>
      </c>
      <c r="I49" s="134">
        <v>1</v>
      </c>
      <c r="J49" s="134">
        <v>2</v>
      </c>
      <c r="K49" s="134">
        <v>3</v>
      </c>
      <c r="L49" s="135">
        <v>4</v>
      </c>
    </row>
    <row r="50" spans="1:15" ht="18" customHeight="1" x14ac:dyDescent="0.25">
      <c r="A50" s="161" t="s">
        <v>16</v>
      </c>
      <c r="B50" s="159">
        <f>'I. Datos de entrada'!B86</f>
        <v>0.34882558720639678</v>
      </c>
      <c r="C50" s="137">
        <f>'I. Datos de entrada'!C86</f>
        <v>0.35199999999999998</v>
      </c>
      <c r="D50" s="137">
        <f>'I. Datos de entrada'!D86</f>
        <v>0.34399999999999997</v>
      </c>
      <c r="E50" s="137">
        <f>'I. Datos de entrada'!E86</f>
        <v>0.34699999999999998</v>
      </c>
      <c r="F50" s="138">
        <f>'I. Datos de entrada'!F86</f>
        <v>0.34399999999999997</v>
      </c>
      <c r="H50" s="139">
        <f t="shared" ref="H50:H55" si="6">H$23*B50</f>
        <v>0</v>
      </c>
      <c r="I50" s="140">
        <f t="shared" ref="I50:I55" si="7">G$23*C50</f>
        <v>186646.75759895018</v>
      </c>
      <c r="J50" s="140">
        <f t="shared" ref="J50:J55" si="8">F$23*D50</f>
        <v>52199.151184330047</v>
      </c>
      <c r="K50" s="140">
        <f t="shared" ref="K50:K55" si="9">E$23*E50</f>
        <v>43084.976333339342</v>
      </c>
      <c r="L50" s="141">
        <f t="shared" ref="L50:L55" si="10">D$23*F50</f>
        <v>140257.28102808469</v>
      </c>
    </row>
    <row r="51" spans="1:15" ht="18" customHeight="1" x14ac:dyDescent="0.25">
      <c r="A51" s="162" t="s">
        <v>17</v>
      </c>
      <c r="B51" s="159">
        <f>'I. Datos de entrada'!B87</f>
        <v>0.32333833083458269</v>
      </c>
      <c r="C51" s="137">
        <f>'I. Datos de entrada'!C87</f>
        <v>0.33800000000000002</v>
      </c>
      <c r="D51" s="137">
        <f>'I. Datos de entrada'!D87</f>
        <v>0.33350000000000002</v>
      </c>
      <c r="E51" s="137">
        <f>'I. Datos de entrada'!E87</f>
        <v>0.34749999999999998</v>
      </c>
      <c r="F51" s="138">
        <f>'I. Datos de entrada'!F87</f>
        <v>0.33700000000000002</v>
      </c>
      <c r="H51" s="139">
        <f t="shared" si="6"/>
        <v>0</v>
      </c>
      <c r="I51" s="140">
        <f t="shared" si="7"/>
        <v>179223.3070126283</v>
      </c>
      <c r="J51" s="140">
        <f t="shared" si="8"/>
        <v>50605.863139459514</v>
      </c>
      <c r="K51" s="140">
        <f t="shared" si="9"/>
        <v>43147.058431802368</v>
      </c>
      <c r="L51" s="141">
        <f t="shared" si="10"/>
        <v>137403.20844902485</v>
      </c>
    </row>
    <row r="52" spans="1:15" ht="18" customHeight="1" x14ac:dyDescent="0.25">
      <c r="A52" s="162" t="s">
        <v>18</v>
      </c>
      <c r="B52" s="159">
        <f>'I. Datos de entrada'!B88</f>
        <v>0.11344327836081959</v>
      </c>
      <c r="C52" s="137">
        <f>'I. Datos de entrada'!C88</f>
        <v>0.16450000000000001</v>
      </c>
      <c r="D52" s="137">
        <f>'I. Datos de entrada'!D88</f>
        <v>0.13450000000000001</v>
      </c>
      <c r="E52" s="137">
        <f>'I. Datos de entrada'!E88</f>
        <v>0.17849999999999999</v>
      </c>
      <c r="F52" s="138">
        <f>'I. Datos de entrada'!F88</f>
        <v>0.158</v>
      </c>
      <c r="H52" s="139">
        <f t="shared" si="6"/>
        <v>0</v>
      </c>
      <c r="I52" s="140">
        <f t="shared" si="7"/>
        <v>87225.54438928212</v>
      </c>
      <c r="J52" s="140">
        <f t="shared" si="8"/>
        <v>20409.261146198816</v>
      </c>
      <c r="K52" s="140">
        <f t="shared" si="9"/>
        <v>22163.309151299924</v>
      </c>
      <c r="L52" s="141">
        <f t="shared" si="10"/>
        <v>64420.49535592262</v>
      </c>
    </row>
    <row r="53" spans="1:15" ht="18" customHeight="1" x14ac:dyDescent="0.25">
      <c r="A53" s="162" t="s">
        <v>19</v>
      </c>
      <c r="B53" s="159">
        <f>'I. Datos de entrada'!B89</f>
        <v>8.395802098950525E-2</v>
      </c>
      <c r="C53" s="137">
        <f>'I. Datos de entrada'!C89</f>
        <v>0.124</v>
      </c>
      <c r="D53" s="137">
        <f>'I. Datos de entrada'!D89</f>
        <v>0.17100000000000001</v>
      </c>
      <c r="E53" s="137">
        <f>'I. Datos de entrada'!E89</f>
        <v>6.6500000000000004E-2</v>
      </c>
      <c r="F53" s="138">
        <f>'I. Datos de entrada'!F89</f>
        <v>0.1235</v>
      </c>
      <c r="H53" s="139">
        <f t="shared" si="6"/>
        <v>0</v>
      </c>
      <c r="I53" s="140">
        <f t="shared" si="7"/>
        <v>65750.562335993818</v>
      </c>
      <c r="J53" s="140">
        <f t="shared" si="8"/>
        <v>25947.833873605927</v>
      </c>
      <c r="K53" s="140">
        <f t="shared" si="9"/>
        <v>8256.9190955823251</v>
      </c>
      <c r="L53" s="141">
        <f t="shared" si="10"/>
        <v>50353.994787699012</v>
      </c>
    </row>
    <row r="54" spans="1:15" ht="18" customHeight="1" x14ac:dyDescent="0.25">
      <c r="A54" s="162" t="s">
        <v>20</v>
      </c>
      <c r="B54" s="159">
        <f>'I. Datos de entrada'!B90</f>
        <v>4.9975012493753122E-4</v>
      </c>
      <c r="C54" s="137">
        <f>'I. Datos de entrada'!C90</f>
        <v>5.0000000000000001E-4</v>
      </c>
      <c r="D54" s="137">
        <f>'I. Datos de entrada'!D90</f>
        <v>5.0000000000000001E-4</v>
      </c>
      <c r="E54" s="137">
        <f>'I. Datos de entrada'!E90</f>
        <v>6.4999999999999997E-3</v>
      </c>
      <c r="F54" s="138">
        <f>'I. Datos de entrada'!F90</f>
        <v>2E-3</v>
      </c>
      <c r="H54" s="139">
        <f t="shared" si="6"/>
        <v>0</v>
      </c>
      <c r="I54" s="140">
        <f t="shared" si="7"/>
        <v>265.12323522578151</v>
      </c>
      <c r="J54" s="140">
        <f t="shared" si="8"/>
        <v>75.870859279549492</v>
      </c>
      <c r="K54" s="140">
        <f t="shared" si="9"/>
        <v>807.06728001932493</v>
      </c>
      <c r="L54" s="141">
        <f t="shared" si="10"/>
        <v>815.44930830281805</v>
      </c>
    </row>
    <row r="55" spans="1:15" ht="18" customHeight="1" thickBot="1" x14ac:dyDescent="0.3">
      <c r="A55" s="163" t="s">
        <v>21</v>
      </c>
      <c r="B55" s="160">
        <f>'I. Datos de entrada'!B91</f>
        <v>0.12993503248375812</v>
      </c>
      <c r="C55" s="142">
        <f>'I. Datos de entrada'!C91</f>
        <v>2.1000000000000001E-2</v>
      </c>
      <c r="D55" s="142">
        <f>'I. Datos de entrada'!D91</f>
        <v>1.6500000000000001E-2</v>
      </c>
      <c r="E55" s="142">
        <f>'I. Datos de entrada'!E91</f>
        <v>5.3999999999999999E-2</v>
      </c>
      <c r="F55" s="143">
        <f>'I. Datos de entrada'!F91</f>
        <v>3.5499999999999997E-2</v>
      </c>
      <c r="H55" s="144">
        <f t="shared" si="6"/>
        <v>0</v>
      </c>
      <c r="I55" s="145">
        <f t="shared" si="7"/>
        <v>11135.175879482824</v>
      </c>
      <c r="J55" s="145">
        <f t="shared" si="8"/>
        <v>2503.7383562251334</v>
      </c>
      <c r="K55" s="145">
        <f t="shared" si="9"/>
        <v>6704.8666340066993</v>
      </c>
      <c r="L55" s="146">
        <f t="shared" si="10"/>
        <v>14474.225222375018</v>
      </c>
    </row>
    <row r="56" spans="1:15" ht="5.0999999999999996" customHeight="1" thickBot="1" x14ac:dyDescent="0.3">
      <c r="B56" s="147"/>
      <c r="C56" s="147"/>
      <c r="D56" s="147"/>
      <c r="E56" s="147"/>
      <c r="F56" s="147"/>
      <c r="H56" s="148"/>
      <c r="I56" s="148"/>
      <c r="J56" s="148"/>
      <c r="K56" s="148"/>
      <c r="L56" s="148"/>
    </row>
    <row r="57" spans="1:15" ht="18" customHeight="1" thickBot="1" x14ac:dyDescent="0.3">
      <c r="A57" s="68" t="s">
        <v>1</v>
      </c>
      <c r="B57" s="166">
        <f>SUM(B50:B56)</f>
        <v>1</v>
      </c>
      <c r="C57" s="149">
        <f>SUM(C50:C56)</f>
        <v>0.99999999999999989</v>
      </c>
      <c r="D57" s="149">
        <f>SUM(D50:D56)</f>
        <v>1</v>
      </c>
      <c r="E57" s="149">
        <f>SUM(E50:E56)</f>
        <v>0.99999999999999989</v>
      </c>
      <c r="F57" s="46">
        <f>SUM(F50:F56)</f>
        <v>1.0000000000000002</v>
      </c>
      <c r="H57" s="150">
        <f>SUM(H50:H55)</f>
        <v>0</v>
      </c>
      <c r="I57" s="151">
        <f>SUM(I50:I55)</f>
        <v>530246.47045156301</v>
      </c>
      <c r="J57" s="151">
        <f t="shared" ref="J57:L57" si="11">SUM(J50:J55)</f>
        <v>151741.71855909901</v>
      </c>
      <c r="K57" s="151">
        <f t="shared" si="11"/>
        <v>124164.19692604999</v>
      </c>
      <c r="L57" s="152">
        <f t="shared" si="11"/>
        <v>407724.65415140899</v>
      </c>
    </row>
    <row r="60" spans="1:15" s="402" customFormat="1" ht="30" customHeight="1" x14ac:dyDescent="0.25">
      <c r="A60" s="402" t="s">
        <v>194</v>
      </c>
    </row>
    <row r="61" spans="1:15" x14ac:dyDescent="0.25">
      <c r="A61" s="118"/>
    </row>
    <row r="62" spans="1:15" s="404" customFormat="1" ht="17.399999999999999" x14ac:dyDescent="0.35">
      <c r="A62" s="403" t="s">
        <v>201</v>
      </c>
    </row>
    <row r="63" spans="1:15" ht="13.8" thickBot="1" x14ac:dyDescent="0.3">
      <c r="A63" s="118"/>
    </row>
    <row r="64" spans="1:15" ht="36.75" customHeight="1" x14ac:dyDescent="0.25">
      <c r="A64" s="72" t="s">
        <v>56</v>
      </c>
      <c r="B64" s="73" t="s">
        <v>55</v>
      </c>
      <c r="C64" s="79" t="s">
        <v>16</v>
      </c>
      <c r="D64" s="79" t="s">
        <v>17</v>
      </c>
      <c r="E64" s="79" t="s">
        <v>18</v>
      </c>
      <c r="F64" s="79" t="s">
        <v>19</v>
      </c>
      <c r="G64" s="79" t="s">
        <v>20</v>
      </c>
      <c r="H64" s="84" t="s">
        <v>21</v>
      </c>
      <c r="J64" s="168" t="s">
        <v>16</v>
      </c>
      <c r="K64" s="169" t="s">
        <v>17</v>
      </c>
      <c r="L64" s="169" t="s">
        <v>18</v>
      </c>
      <c r="M64" s="169" t="s">
        <v>19</v>
      </c>
      <c r="N64" s="169" t="s">
        <v>20</v>
      </c>
      <c r="O64" s="170" t="s">
        <v>21</v>
      </c>
    </row>
    <row r="65" spans="1:18" ht="18.600000000000001" x14ac:dyDescent="0.25">
      <c r="A65" s="167" t="s">
        <v>11</v>
      </c>
      <c r="B65" s="75" t="s">
        <v>57</v>
      </c>
      <c r="C65" s="85">
        <f>'IIIa. Coeficientes Potencia'!D9</f>
        <v>1</v>
      </c>
      <c r="D65" s="85">
        <f>'IIIa. Coeficientes Potencia'!E9</f>
        <v>1</v>
      </c>
      <c r="E65" s="85">
        <f>'IIIa. Coeficientes Potencia'!F9</f>
        <v>1</v>
      </c>
      <c r="F65" s="85">
        <f>'IIIa. Coeficientes Potencia'!G9</f>
        <v>1</v>
      </c>
      <c r="G65" s="90">
        <f>'IIIa. Coeficientes Potencia'!H9</f>
        <v>1</v>
      </c>
      <c r="H65" s="95">
        <f>'IIIa. Coeficientes Potencia'!I9</f>
        <v>1</v>
      </c>
      <c r="J65" s="171">
        <f>$H$34*C65</f>
        <v>698822.05724336824</v>
      </c>
      <c r="K65" s="172">
        <f>$H$35*D65</f>
        <v>647761.99288891011</v>
      </c>
      <c r="L65" s="172">
        <f>$H$36*E65</f>
        <v>227267.34526396074</v>
      </c>
      <c r="M65" s="172">
        <f>$H$37*F65</f>
        <v>168197.85904997977</v>
      </c>
      <c r="N65" s="172">
        <f>$H$38*G65</f>
        <v>1001.1777324403557</v>
      </c>
      <c r="O65" s="173">
        <f>$H$39*H65</f>
        <v>260306.2104344925</v>
      </c>
    </row>
    <row r="66" spans="1:18" ht="18.600000000000001" x14ac:dyDescent="0.25">
      <c r="A66" s="579" t="s">
        <v>12</v>
      </c>
      <c r="B66" s="76" t="s">
        <v>58</v>
      </c>
      <c r="C66" s="86">
        <f>'IIIa. Coeficientes Potencia'!D10</f>
        <v>0.28121146460141422</v>
      </c>
      <c r="D66" s="86">
        <f>'IIIa. Coeficientes Potencia'!E10</f>
        <v>0.37669895253283364</v>
      </c>
      <c r="E66" s="86">
        <f>'IIIa. Coeficientes Potencia'!F10</f>
        <v>0.3990794612815623</v>
      </c>
      <c r="F66" s="86">
        <f>'IIIa. Coeficientes Potencia'!G10</f>
        <v>0.39424704348054823</v>
      </c>
      <c r="G66" s="91">
        <f>'IIIa. Coeficientes Potencia'!H10</f>
        <v>0.38988688145912376</v>
      </c>
      <c r="H66" s="96">
        <f>'IIIa. Coeficientes Potencia'!I10</f>
        <v>0.24736842655858945</v>
      </c>
      <c r="J66" s="174">
        <f>$I$34*C66</f>
        <v>157461.62420251773</v>
      </c>
      <c r="K66" s="175">
        <f>$I$35*D66</f>
        <v>202539.69606338261</v>
      </c>
      <c r="L66" s="175">
        <f>$I$36*E66</f>
        <v>104429.76979459712</v>
      </c>
      <c r="M66" s="175">
        <f>$I$37*F66</f>
        <v>77765.89442444715</v>
      </c>
      <c r="N66" s="175">
        <f>$I$38*G66</f>
        <v>310.10421415360094</v>
      </c>
      <c r="O66" s="176">
        <f>$I$39*H66</f>
        <v>8263.4728102824702</v>
      </c>
    </row>
    <row r="67" spans="1:18" ht="18.600000000000001" x14ac:dyDescent="0.25">
      <c r="A67" s="581"/>
      <c r="B67" s="77" t="s">
        <v>59</v>
      </c>
      <c r="C67" s="87">
        <f>'IIIa. Coeficientes Potencia'!D11</f>
        <v>0.71878853539858589</v>
      </c>
      <c r="D67" s="87">
        <f>'IIIa. Coeficientes Potencia'!E11</f>
        <v>0.6233010474671663</v>
      </c>
      <c r="E67" s="87">
        <f>'IIIa. Coeficientes Potencia'!F11</f>
        <v>0.60092053871843776</v>
      </c>
      <c r="F67" s="87">
        <f>'IIIa. Coeficientes Potencia'!G11</f>
        <v>0.60575295651945182</v>
      </c>
      <c r="G67" s="92">
        <f>'IIIa. Coeficientes Potencia'!H11</f>
        <v>0.61011311854087613</v>
      </c>
      <c r="H67" s="97">
        <f>'IIIa. Coeficientes Potencia'!I11</f>
        <v>0.75263157344141052</v>
      </c>
      <c r="J67" s="177">
        <f>$I$34*C67</f>
        <v>402478.64859433274</v>
      </c>
      <c r="K67" s="178">
        <f>$I$35*D67</f>
        <v>335130.22497450223</v>
      </c>
      <c r="L67" s="178">
        <f>$I$36*E67</f>
        <v>157246.86337324925</v>
      </c>
      <c r="M67" s="178">
        <f>$I$37*F67</f>
        <v>119485.7925835343</v>
      </c>
      <c r="N67" s="178">
        <f>$I$38*G67</f>
        <v>485.26549152374338</v>
      </c>
      <c r="O67" s="179">
        <f>$I$39*H67</f>
        <v>25142.054828165998</v>
      </c>
    </row>
    <row r="68" spans="1:18" ht="17.399999999999999" x14ac:dyDescent="0.25">
      <c r="A68" s="579" t="s">
        <v>13</v>
      </c>
      <c r="B68" s="76" t="s">
        <v>60</v>
      </c>
      <c r="C68" s="86">
        <f>'IIIa. Coeficientes Potencia'!D12</f>
        <v>0.16595788046142793</v>
      </c>
      <c r="D68" s="86">
        <f>'IIIa. Coeficientes Potencia'!E12</f>
        <v>0.18573956572448327</v>
      </c>
      <c r="E68" s="86">
        <f>'IIIa. Coeficientes Potencia'!F12</f>
        <v>0.20183982132150949</v>
      </c>
      <c r="F68" s="86">
        <f>'IIIa. Coeficientes Potencia'!G12</f>
        <v>0.20141498726779386</v>
      </c>
      <c r="G68" s="91">
        <f>'IIIa. Coeficientes Potencia'!H12</f>
        <v>0.22219870201498626</v>
      </c>
      <c r="H68" s="96">
        <f>'IIIa. Coeficientes Potencia'!I12</f>
        <v>0.15283139204025539</v>
      </c>
      <c r="J68" s="174">
        <f>$J$34*C68</f>
        <v>25988.581477311149</v>
      </c>
      <c r="K68" s="175">
        <f>$J$35*D68</f>
        <v>28198.533127907536</v>
      </c>
      <c r="L68" s="175">
        <f>$J$36*E68</f>
        <v>12358.204869158382</v>
      </c>
      <c r="M68" s="175">
        <f>$J$37*F68</f>
        <v>15678.847887837504</v>
      </c>
      <c r="N68" s="175">
        <f>$J$38*G68</f>
        <v>50.575219358032712</v>
      </c>
      <c r="O68" s="176">
        <f>$J$39*H68</f>
        <v>1147.9494548594039</v>
      </c>
    </row>
    <row r="69" spans="1:18" ht="17.399999999999999" x14ac:dyDescent="0.25">
      <c r="A69" s="580"/>
      <c r="B69" s="76" t="s">
        <v>61</v>
      </c>
      <c r="C69" s="86">
        <f>'IIIa. Coeficientes Potencia'!D13</f>
        <v>0.23441737129366458</v>
      </c>
      <c r="D69" s="86">
        <f>'IIIa. Coeficientes Potencia'!E13</f>
        <v>0.3065930842820187</v>
      </c>
      <c r="E69" s="86">
        <f>'IIIa. Coeficientes Potencia'!F13</f>
        <v>0.31837938853215753</v>
      </c>
      <c r="F69" s="86">
        <f>'IIIa. Coeficientes Potencia'!G13</f>
        <v>0.31469262569409212</v>
      </c>
      <c r="G69" s="91">
        <f>'IIIa. Coeficientes Potencia'!H13</f>
        <v>0.30312004980695689</v>
      </c>
      <c r="H69" s="96">
        <f>'IIIa. Coeficientes Potencia'!I13</f>
        <v>0.20943251410916783</v>
      </c>
      <c r="J69" s="174">
        <f>$J$34*C69</f>
        <v>36709.163413173679</v>
      </c>
      <c r="K69" s="175">
        <f>$J$35*D69</f>
        <v>46546.222988041845</v>
      </c>
      <c r="L69" s="175">
        <f>$J$36*E69</f>
        <v>19493.664252359697</v>
      </c>
      <c r="M69" s="175">
        <f>$J$37*F69</f>
        <v>24496.775918277464</v>
      </c>
      <c r="N69" s="175">
        <f>$J$38*G69</f>
        <v>68.993935931140982</v>
      </c>
      <c r="O69" s="176">
        <f>$J$39*H69</f>
        <v>1573.0926558473545</v>
      </c>
    </row>
    <row r="70" spans="1:18" ht="17.399999999999999" x14ac:dyDescent="0.25">
      <c r="A70" s="581"/>
      <c r="B70" s="77" t="s">
        <v>62</v>
      </c>
      <c r="C70" s="87">
        <f>'IIIa. Coeficientes Potencia'!D14</f>
        <v>0.59962474824490741</v>
      </c>
      <c r="D70" s="87">
        <f>'IIIa. Coeficientes Potencia'!E14</f>
        <v>0.50766734999349783</v>
      </c>
      <c r="E70" s="87">
        <f>'IIIa. Coeficientes Potencia'!F14</f>
        <v>0.47978079014633312</v>
      </c>
      <c r="F70" s="87">
        <f>'IIIa. Coeficientes Potencia'!G14</f>
        <v>0.4838923870381141</v>
      </c>
      <c r="G70" s="92">
        <f>'IIIa. Coeficientes Potencia'!H14</f>
        <v>0.47468124817805668</v>
      </c>
      <c r="H70" s="97">
        <f>'IIIa. Coeficientes Potencia'!I14</f>
        <v>0.63773609385057661</v>
      </c>
      <c r="J70" s="177">
        <f>$J$34*C70</f>
        <v>93899.708662505291</v>
      </c>
      <c r="K70" s="178">
        <f>$J$35*D70</f>
        <v>77072.833302429135</v>
      </c>
      <c r="L70" s="178">
        <f>$J$36*E70</f>
        <v>29375.914317078368</v>
      </c>
      <c r="M70" s="178">
        <f>$J$37*F70</f>
        <v>37667.877814702821</v>
      </c>
      <c r="N70" s="178">
        <f>$J$38*G70</f>
        <v>108.04342254947474</v>
      </c>
      <c r="O70" s="179">
        <f>$J$39*H70</f>
        <v>4790.1729579686398</v>
      </c>
    </row>
    <row r="71" spans="1:18" ht="17.399999999999999" x14ac:dyDescent="0.25">
      <c r="A71" s="579" t="s">
        <v>14</v>
      </c>
      <c r="B71" s="76" t="s">
        <v>63</v>
      </c>
      <c r="C71" s="86">
        <f>'IIIa. Coeficientes Potencia'!D15</f>
        <v>6.2353843038917327E-2</v>
      </c>
      <c r="D71" s="86">
        <f>'IIIa. Coeficientes Potencia'!E15</f>
        <v>7.3543631107900909E-2</v>
      </c>
      <c r="E71" s="86">
        <f>'IIIa. Coeficientes Potencia'!F15</f>
        <v>8.1459863910867458E-2</v>
      </c>
      <c r="F71" s="86">
        <f>'IIIa. Coeficientes Potencia'!G15</f>
        <v>8.3099421726132675E-2</v>
      </c>
      <c r="G71" s="91">
        <f>'IIIa. Coeficientes Potencia'!H15</f>
        <v>9.668938485080561E-2</v>
      </c>
      <c r="H71" s="96">
        <f>'IIIa. Coeficientes Potencia'!I15</f>
        <v>7.4771903736067472E-2</v>
      </c>
      <c r="J71" s="174">
        <f>$K$34*C71</f>
        <v>8059.5415548735273</v>
      </c>
      <c r="K71" s="175">
        <f>$K$35*D71</f>
        <v>9519.5740460985562</v>
      </c>
      <c r="L71" s="175">
        <f>$K$36*E71</f>
        <v>5416.2604418381252</v>
      </c>
      <c r="M71" s="175">
        <f>$K$37*F71</f>
        <v>2058.4356062470606</v>
      </c>
      <c r="N71" s="175">
        <f>$K$38*G71</f>
        <v>234.10451651484419</v>
      </c>
      <c r="O71" s="176">
        <f>$K$39*H71</f>
        <v>1504.0069275633589</v>
      </c>
    </row>
    <row r="72" spans="1:18" ht="17.399999999999999" x14ac:dyDescent="0.25">
      <c r="A72" s="580"/>
      <c r="B72" s="76" t="s">
        <v>64</v>
      </c>
      <c r="C72" s="86">
        <f>'IIIa. Coeficientes Potencia'!D16</f>
        <v>5.3778702402780695E-2</v>
      </c>
      <c r="D72" s="86">
        <f>'IIIa. Coeficientes Potencia'!E16</f>
        <v>5.6805010289303175E-2</v>
      </c>
      <c r="E72" s="86">
        <f>'IIIa. Coeficientes Potencia'!F16</f>
        <v>6.0837150240139158E-2</v>
      </c>
      <c r="F72" s="86">
        <f>'IIIa. Coeficientes Potencia'!G16</f>
        <v>5.9774385297550969E-2</v>
      </c>
      <c r="G72" s="91">
        <f>'IIIa. Coeficientes Potencia'!H16</f>
        <v>6.8265250243400827E-2</v>
      </c>
      <c r="H72" s="96">
        <f>'IIIa. Coeficientes Potencia'!I16</f>
        <v>4.8242563739987178E-2</v>
      </c>
      <c r="J72" s="174">
        <f>$K$34*C72</f>
        <v>6951.1623607845177</v>
      </c>
      <c r="K72" s="175">
        <f>$K$35*D72</f>
        <v>7352.9072945150965</v>
      </c>
      <c r="L72" s="175">
        <f>$K$36*E72</f>
        <v>4045.0577059688535</v>
      </c>
      <c r="M72" s="175">
        <f>$K$37*F72</f>
        <v>1480.6567901701317</v>
      </c>
      <c r="N72" s="175">
        <f>$K$38*G72</f>
        <v>165.28394950134017</v>
      </c>
      <c r="O72" s="176">
        <f>$K$39*H72</f>
        <v>970.37986787754437</v>
      </c>
    </row>
    <row r="73" spans="1:18" ht="17.399999999999999" x14ac:dyDescent="0.25">
      <c r="A73" s="580"/>
      <c r="B73" s="76" t="s">
        <v>65</v>
      </c>
      <c r="C73" s="86">
        <f>'IIIa. Coeficientes Potencia'!D17</f>
        <v>0.24851320869292884</v>
      </c>
      <c r="D73" s="86">
        <f>'IIIa. Coeficientes Potencia'!E17</f>
        <v>0.32755456077194472</v>
      </c>
      <c r="E73" s="86">
        <f>'IIIa. Coeficientes Potencia'!F17</f>
        <v>0.34224644997860582</v>
      </c>
      <c r="F73" s="86">
        <f>'IIIa. Coeficientes Potencia'!G17</f>
        <v>0.33787579608105761</v>
      </c>
      <c r="G73" s="91">
        <f>'IIIa. Coeficientes Potencia'!H17</f>
        <v>0.32553191968354028</v>
      </c>
      <c r="H73" s="96">
        <f>'IIIa. Coeficientes Potencia'!I17</f>
        <v>0.21689741628043657</v>
      </c>
      <c r="J73" s="174">
        <f>$K$34*C73</f>
        <v>32121.557145171177</v>
      </c>
      <c r="K73" s="175">
        <f>$K$35*D73</f>
        <v>42399.047319691374</v>
      </c>
      <c r="L73" s="175">
        <f>$K$36*E73</f>
        <v>22755.941630432237</v>
      </c>
      <c r="M73" s="175">
        <f>$K$37*F73</f>
        <v>8369.4393377902925</v>
      </c>
      <c r="N73" s="175">
        <f>$K$38*G73</f>
        <v>788.17848293539248</v>
      </c>
      <c r="O73" s="176">
        <f>$K$39*H73</f>
        <v>4362.8047482628817</v>
      </c>
    </row>
    <row r="74" spans="1:18" ht="16.2" x14ac:dyDescent="0.25">
      <c r="A74" s="581"/>
      <c r="B74" s="77" t="s">
        <v>66</v>
      </c>
      <c r="C74" s="87">
        <f>'IIIa. Coeficientes Potencia'!D18</f>
        <v>0.63535424586537315</v>
      </c>
      <c r="D74" s="87">
        <f>'IIIa. Coeficientes Potencia'!E18</f>
        <v>0.54209679783085107</v>
      </c>
      <c r="E74" s="87">
        <f>'IIIa. Coeficientes Potencia'!F18</f>
        <v>0.51545653587038753</v>
      </c>
      <c r="F74" s="87">
        <f>'IIIa. Coeficientes Potencia'!G18</f>
        <v>0.51925039689525876</v>
      </c>
      <c r="G74" s="92">
        <f>'IIIa. Coeficientes Potencia'!H18</f>
        <v>0.50951344522225328</v>
      </c>
      <c r="H74" s="97">
        <f>'IIIa. Coeficientes Potencia'!I18</f>
        <v>0.66008811624350883</v>
      </c>
      <c r="J74" s="177">
        <f>$K$34*C74</f>
        <v>82122.667939188803</v>
      </c>
      <c r="K74" s="178">
        <f>$K$35*D74</f>
        <v>70169.64663510205</v>
      </c>
      <c r="L74" s="178">
        <f>$K$36*E74</f>
        <v>34272.667675660552</v>
      </c>
      <c r="M74" s="178">
        <f>$K$37*F74</f>
        <v>12862.225552539488</v>
      </c>
      <c r="N74" s="178">
        <f>$K$38*G74</f>
        <v>1233.6348911063976</v>
      </c>
      <c r="O74" s="179">
        <f>$K$39*H74</f>
        <v>13277.408358316314</v>
      </c>
    </row>
    <row r="75" spans="1:18" ht="17.399999999999999" x14ac:dyDescent="0.25">
      <c r="A75" s="579" t="s">
        <v>15</v>
      </c>
      <c r="B75" s="76" t="s">
        <v>67</v>
      </c>
      <c r="C75" s="86">
        <f>'IIIa. Coeficientes Potencia'!D19</f>
        <v>9.0341515431305003E-2</v>
      </c>
      <c r="D75" s="86">
        <f>'IIIa. Coeficientes Potencia'!E19</f>
        <v>7.5313127857926571E-2</v>
      </c>
      <c r="E75" s="86">
        <f>'IIIa. Coeficientes Potencia'!F19</f>
        <v>8.2489405576404135E-2</v>
      </c>
      <c r="F75" s="86">
        <f>'IIIa. Coeficientes Potencia'!G19</f>
        <v>8.2981457539222911E-2</v>
      </c>
      <c r="G75" s="91">
        <f>'IIIa. Coeficientes Potencia'!H19</f>
        <v>0.1318912437806207</v>
      </c>
      <c r="H75" s="96">
        <f>'IIIa. Coeficientes Potencia'!I19</f>
        <v>0.12485369852498195</v>
      </c>
      <c r="J75" s="174">
        <f>$L$34*C75</f>
        <v>38013.165955054785</v>
      </c>
      <c r="K75" s="175">
        <f>$L$35*D75</f>
        <v>31044.796218032232</v>
      </c>
      <c r="L75" s="175">
        <f>$L$36*E75</f>
        <v>15942.02510654268</v>
      </c>
      <c r="M75" s="175">
        <f>$L$37*F75</f>
        <v>12535.343641217092</v>
      </c>
      <c r="N75" s="175">
        <f>$L$38*G75</f>
        <v>322.65187053631649</v>
      </c>
      <c r="O75" s="176">
        <f>$L$39*H75</f>
        <v>5421.4816568913011</v>
      </c>
      <c r="P75" s="324"/>
      <c r="R75" s="147"/>
    </row>
    <row r="76" spans="1:18" ht="17.399999999999999" x14ac:dyDescent="0.25">
      <c r="A76" s="580"/>
      <c r="B76" s="76" t="s">
        <v>68</v>
      </c>
      <c r="C76" s="86">
        <f>'IIIa. Coeficientes Potencia'!D20</f>
        <v>2.7588367219473612E-2</v>
      </c>
      <c r="D76" s="86">
        <f>'IIIa. Coeficientes Potencia'!E20</f>
        <v>3.1827973203528724E-2</v>
      </c>
      <c r="E76" s="86">
        <f>'IIIa. Coeficientes Potencia'!F20</f>
        <v>3.436803360815377E-2</v>
      </c>
      <c r="F76" s="86">
        <f>'IIIa. Coeficientes Potencia'!G20</f>
        <v>3.4841344343194754E-2</v>
      </c>
      <c r="G76" s="91">
        <f>'IIIa. Coeficientes Potencia'!H20</f>
        <v>3.887096828004527E-2</v>
      </c>
      <c r="H76" s="96">
        <f>'IIIa. Coeficientes Potencia'!I20</f>
        <v>3.3177941655044126E-2</v>
      </c>
      <c r="J76" s="174">
        <f>$L$34*C76</f>
        <v>11608.40812262313</v>
      </c>
      <c r="K76" s="175">
        <f>$L$35*D76</f>
        <v>13119.796909783303</v>
      </c>
      <c r="L76" s="175">
        <f>$L$36*E76</f>
        <v>6642.0172483387878</v>
      </c>
      <c r="M76" s="175">
        <f>$L$37*F76</f>
        <v>5263.2026143609646</v>
      </c>
      <c r="N76" s="175">
        <f>$L$38*G76</f>
        <v>95.091912591071079</v>
      </c>
      <c r="O76" s="176">
        <f>$L$39*H76</f>
        <v>1440.6749997897793</v>
      </c>
    </row>
    <row r="77" spans="1:18" ht="17.399999999999999" x14ac:dyDescent="0.25">
      <c r="A77" s="580"/>
      <c r="B77" s="76" t="s">
        <v>69</v>
      </c>
      <c r="C77" s="86">
        <f>'IIIa. Coeficientes Potencia'!D21</f>
        <v>6.2378570180296258E-2</v>
      </c>
      <c r="D77" s="86">
        <f>'IIIa. Coeficientes Potencia'!E21</f>
        <v>6.9808490554235519E-2</v>
      </c>
      <c r="E77" s="86">
        <f>'IIIa. Coeficientes Potencia'!F21</f>
        <v>7.5838779629130409E-2</v>
      </c>
      <c r="F77" s="86">
        <f>'IIIa. Coeficientes Potencia'!G21</f>
        <v>7.4953426404925985E-2</v>
      </c>
      <c r="G77" s="91">
        <f>'IIIa. Coeficientes Potencia'!H21</f>
        <v>7.7147259905700621E-2</v>
      </c>
      <c r="H77" s="96">
        <f>'IIIa. Coeficientes Potencia'!I21</f>
        <v>5.3076446774933839E-2</v>
      </c>
      <c r="J77" s="174">
        <f>$L$34*C77</f>
        <v>26247.145943723746</v>
      </c>
      <c r="K77" s="175">
        <f>$L$35*D77</f>
        <v>28775.731737406215</v>
      </c>
      <c r="L77" s="175">
        <f>$L$36*E77</f>
        <v>14656.715252691703</v>
      </c>
      <c r="M77" s="175">
        <f>$L$37*F77</f>
        <v>11322.613327541472</v>
      </c>
      <c r="N77" s="175">
        <f>$L$38*G77</f>
        <v>188.72903918268389</v>
      </c>
      <c r="O77" s="176">
        <f>$L$39*H77</f>
        <v>2304.7213338713777</v>
      </c>
    </row>
    <row r="78" spans="1:18" ht="17.399999999999999" x14ac:dyDescent="0.25">
      <c r="A78" s="580"/>
      <c r="B78" s="76" t="s">
        <v>70</v>
      </c>
      <c r="C78" s="86">
        <f>'IIIa. Coeficientes Potencia'!D22</f>
        <v>0.2304597389030103</v>
      </c>
      <c r="D78" s="86">
        <f>'IIIa. Coeficientes Potencia'!E22</f>
        <v>0.30999037257902007</v>
      </c>
      <c r="E78" s="86">
        <f>'IIIa. Coeficientes Potencia'!F22</f>
        <v>0.32212201791241252</v>
      </c>
      <c r="F78" s="86">
        <f>'IIIa. Coeficientes Potencia'!G22</f>
        <v>0.31819082417110101</v>
      </c>
      <c r="G78" s="91">
        <f>'IIIa. Coeficientes Potencia'!H22</f>
        <v>0.29318354172100969</v>
      </c>
      <c r="H78" s="96">
        <f>'IIIa. Coeficientes Potencia'!I22</f>
        <v>0.19510171653424319</v>
      </c>
      <c r="J78" s="174">
        <f>$L$34*C78</f>
        <v>96970.969094935615</v>
      </c>
      <c r="K78" s="175">
        <f>$L$35*D78</f>
        <v>127781.0153419979</v>
      </c>
      <c r="L78" s="175">
        <f>$L$36*E78</f>
        <v>62253.779876900982</v>
      </c>
      <c r="M78" s="175">
        <f>$L$37*F78</f>
        <v>48066.537305415819</v>
      </c>
      <c r="N78" s="175">
        <f>$L$38*G78</f>
        <v>717.22894890650321</v>
      </c>
      <c r="O78" s="176">
        <f>$L$39*H78</f>
        <v>8471.8385591658116</v>
      </c>
    </row>
    <row r="79" spans="1:18" ht="18" thickBot="1" x14ac:dyDescent="0.3">
      <c r="A79" s="582"/>
      <c r="B79" s="78" t="s">
        <v>71</v>
      </c>
      <c r="C79" s="88">
        <f>'IIIa. Coeficientes Potencia'!D23</f>
        <v>0.58923180826591492</v>
      </c>
      <c r="D79" s="88">
        <f>'IIIa. Coeficientes Potencia'!E23</f>
        <v>0.51306003580528892</v>
      </c>
      <c r="E79" s="88">
        <f>'IIIa. Coeficientes Potencia'!F23</f>
        <v>0.48518176327389934</v>
      </c>
      <c r="F79" s="88">
        <f>'IIIa. Coeficientes Potencia'!G23</f>
        <v>0.48903294754155535</v>
      </c>
      <c r="G79" s="93">
        <f>'IIIa. Coeficientes Potencia'!H23</f>
        <v>0.45890698631262361</v>
      </c>
      <c r="H79" s="98">
        <f>'IIIa. Coeficientes Potencia'!I23</f>
        <v>0.59379019651079679</v>
      </c>
      <c r="J79" s="180">
        <f>$L$34*C79</f>
        <v>247932.15396791685</v>
      </c>
      <c r="K79" s="181">
        <f>$L$35*D79</f>
        <v>211488.28513985479</v>
      </c>
      <c r="L79" s="181">
        <f>$L$36*E79</f>
        <v>93766.94858329375</v>
      </c>
      <c r="M79" s="181">
        <f>$L$37*F79</f>
        <v>73874.287474561686</v>
      </c>
      <c r="N79" s="181">
        <f>$L$38*G79</f>
        <v>1122.6461536918791</v>
      </c>
      <c r="O79" s="182">
        <f>$L$39*H79</f>
        <v>25783.959117406779</v>
      </c>
    </row>
    <row r="82" spans="1:15" s="404" customFormat="1" ht="17.399999999999999" x14ac:dyDescent="0.35">
      <c r="A82" s="403" t="s">
        <v>202</v>
      </c>
    </row>
    <row r="83" spans="1:15" ht="13.8" thickBot="1" x14ac:dyDescent="0.3">
      <c r="A83" s="118"/>
    </row>
    <row r="84" spans="1:15" ht="36.75" customHeight="1" x14ac:dyDescent="0.25">
      <c r="A84" s="72" t="s">
        <v>56</v>
      </c>
      <c r="B84" s="73" t="s">
        <v>55</v>
      </c>
      <c r="C84" s="79" t="s">
        <v>16</v>
      </c>
      <c r="D84" s="79" t="s">
        <v>17</v>
      </c>
      <c r="E84" s="79" t="s">
        <v>18</v>
      </c>
      <c r="F84" s="79" t="s">
        <v>19</v>
      </c>
      <c r="G84" s="79" t="s">
        <v>20</v>
      </c>
      <c r="H84" s="84" t="s">
        <v>21</v>
      </c>
      <c r="J84" s="168" t="s">
        <v>16</v>
      </c>
      <c r="K84" s="169" t="s">
        <v>17</v>
      </c>
      <c r="L84" s="169" t="s">
        <v>18</v>
      </c>
      <c r="M84" s="169" t="s">
        <v>19</v>
      </c>
      <c r="N84" s="169" t="s">
        <v>20</v>
      </c>
      <c r="O84" s="170" t="s">
        <v>21</v>
      </c>
    </row>
    <row r="85" spans="1:15" ht="18.600000000000001" x14ac:dyDescent="0.25">
      <c r="A85" s="167" t="s">
        <v>11</v>
      </c>
      <c r="B85" s="75" t="s">
        <v>57</v>
      </c>
      <c r="C85" s="85">
        <f>'IIIb. Coeficientes Energía'!D9</f>
        <v>1</v>
      </c>
      <c r="D85" s="85">
        <f>'IIIb. Coeficientes Energía'!E9</f>
        <v>1</v>
      </c>
      <c r="E85" s="85">
        <f>'IIIb. Coeficientes Energía'!F9</f>
        <v>1</v>
      </c>
      <c r="F85" s="85">
        <f>'IIIb. Coeficientes Energía'!G9</f>
        <v>1</v>
      </c>
      <c r="G85" s="90">
        <f>'IIIb. Coeficientes Energía'!H9</f>
        <v>1</v>
      </c>
      <c r="H85" s="95">
        <f>'IIIb. Coeficientes Energía'!I9</f>
        <v>1</v>
      </c>
      <c r="J85" s="171">
        <f>$H$50*C85</f>
        <v>0</v>
      </c>
      <c r="K85" s="172">
        <f>$H$51*D85</f>
        <v>0</v>
      </c>
      <c r="L85" s="172">
        <f>$H$52*E85</f>
        <v>0</v>
      </c>
      <c r="M85" s="172">
        <f>$H$53*F85</f>
        <v>0</v>
      </c>
      <c r="N85" s="172">
        <f>$H$54*G85</f>
        <v>0</v>
      </c>
      <c r="O85" s="173">
        <f>$H$55*H85</f>
        <v>0</v>
      </c>
    </row>
    <row r="86" spans="1:15" ht="18.600000000000001" x14ac:dyDescent="0.25">
      <c r="A86" s="579" t="s">
        <v>12</v>
      </c>
      <c r="B86" s="76" t="s">
        <v>58</v>
      </c>
      <c r="C86" s="86">
        <f>'IIIb. Coeficientes Energía'!D10</f>
        <v>0.35144613924561496</v>
      </c>
      <c r="D86" s="86">
        <f>'IIIb. Coeficientes Energía'!E10</f>
        <v>0.35729351755279382</v>
      </c>
      <c r="E86" s="86">
        <f>'IIIb. Coeficientes Energía'!F10</f>
        <v>0.39645862034534241</v>
      </c>
      <c r="F86" s="86">
        <f>'IIIb. Coeficientes Energía'!G10</f>
        <v>0.39358081683408846</v>
      </c>
      <c r="G86" s="91">
        <f>'IIIb. Coeficientes Energía'!H10</f>
        <v>0.41615528461193879</v>
      </c>
      <c r="H86" s="96">
        <f>'IIIb. Coeficientes Energía'!I10</f>
        <v>0.37979277196436656</v>
      </c>
      <c r="J86" s="174">
        <f>$I$50*C86</f>
        <v>65596.282360863188</v>
      </c>
      <c r="K86" s="175">
        <f>$I$51*D86</f>
        <v>64035.325789986266</v>
      </c>
      <c r="L86" s="175">
        <f>$I$52*E86</f>
        <v>34581.318987446211</v>
      </c>
      <c r="M86" s="175">
        <f>$I$53*F86</f>
        <v>25878.160031501098</v>
      </c>
      <c r="N86" s="175">
        <f>$I$54*G86</f>
        <v>110.3324354126231</v>
      </c>
      <c r="O86" s="176">
        <f>$I$55*H86</f>
        <v>4229.0593135795352</v>
      </c>
    </row>
    <row r="87" spans="1:15" ht="18.600000000000001" x14ac:dyDescent="0.25">
      <c r="A87" s="581"/>
      <c r="B87" s="77" t="s">
        <v>59</v>
      </c>
      <c r="C87" s="87">
        <f>'IIIb. Coeficientes Energía'!D11</f>
        <v>0.64855386075438504</v>
      </c>
      <c r="D87" s="87">
        <f>'IIIb. Coeficientes Energía'!E11</f>
        <v>0.64270648244720618</v>
      </c>
      <c r="E87" s="87">
        <f>'IIIb. Coeficientes Energía'!F11</f>
        <v>0.60354137965465748</v>
      </c>
      <c r="F87" s="87">
        <f>'IIIb. Coeficientes Energía'!G11</f>
        <v>0.60641918316591148</v>
      </c>
      <c r="G87" s="92">
        <f>'IIIb. Coeficientes Energía'!H11</f>
        <v>0.58384471538806126</v>
      </c>
      <c r="H87" s="97">
        <f>'IIIb. Coeficientes Energía'!I11</f>
        <v>0.62020722803563344</v>
      </c>
      <c r="J87" s="177">
        <f>$I$50*C87</f>
        <v>121050.47523808699</v>
      </c>
      <c r="K87" s="178">
        <f>$I$51*D87</f>
        <v>115187.98122264203</v>
      </c>
      <c r="L87" s="178">
        <f>$I$52*E87</f>
        <v>52644.225401835902</v>
      </c>
      <c r="M87" s="178">
        <f>$I$53*F87</f>
        <v>39872.402304492716</v>
      </c>
      <c r="N87" s="178">
        <f>$I$54*G87</f>
        <v>154.79079981315843</v>
      </c>
      <c r="O87" s="179">
        <f>$I$55*H87</f>
        <v>6906.1165659032886</v>
      </c>
    </row>
    <row r="88" spans="1:15" ht="17.399999999999999" x14ac:dyDescent="0.25">
      <c r="A88" s="579" t="s">
        <v>13</v>
      </c>
      <c r="B88" s="76" t="s">
        <v>60</v>
      </c>
      <c r="C88" s="86">
        <f>'IIIb. Coeficientes Energía'!D12</f>
        <v>0.18769864845040984</v>
      </c>
      <c r="D88" s="86">
        <f>'IIIb. Coeficientes Energía'!E12</f>
        <v>0.20121176644367819</v>
      </c>
      <c r="E88" s="86">
        <f>'IIIb. Coeficientes Energía'!F12</f>
        <v>0.22573572758771984</v>
      </c>
      <c r="F88" s="86">
        <f>'IIIb. Coeficientes Energía'!G12</f>
        <v>0.19516664185176774</v>
      </c>
      <c r="G88" s="91">
        <f>'IIIb. Coeficientes Energía'!H12</f>
        <v>0.25858470915618609</v>
      </c>
      <c r="H88" s="96">
        <f>'IIIb. Coeficientes Energía'!I12</f>
        <v>0.23849061622916334</v>
      </c>
      <c r="J88" s="174">
        <f>$J$50*C88</f>
        <v>9797.7101275573605</v>
      </c>
      <c r="K88" s="175">
        <f>$J$51*D88</f>
        <v>10182.495114697671</v>
      </c>
      <c r="L88" s="175">
        <f>$J$52*E88</f>
        <v>4607.0994143649705</v>
      </c>
      <c r="M88" s="175">
        <f>$J$53*F88</f>
        <v>5064.1516004392151</v>
      </c>
      <c r="N88" s="175">
        <f>$J$54*G88</f>
        <v>19.619044080232229</v>
      </c>
      <c r="O88" s="176">
        <f>$J$55*H88</f>
        <v>597.11810345272454</v>
      </c>
    </row>
    <row r="89" spans="1:15" ht="17.399999999999999" x14ac:dyDescent="0.25">
      <c r="A89" s="580"/>
      <c r="B89" s="76" t="s">
        <v>61</v>
      </c>
      <c r="C89" s="86">
        <f>'IIIb. Coeficientes Energía'!D13</f>
        <v>0.28538912701768826</v>
      </c>
      <c r="D89" s="86">
        <f>'IIIb. Coeficientes Energía'!E13</f>
        <v>0.28530980276453094</v>
      </c>
      <c r="E89" s="86">
        <f>'IIIb. Coeficientes Energía'!F13</f>
        <v>0.30686808199990084</v>
      </c>
      <c r="F89" s="86">
        <f>'IIIb. Coeficientes Energía'!G13</f>
        <v>0.31664498180594197</v>
      </c>
      <c r="G89" s="91">
        <f>'IIIb. Coeficientes Energía'!H13</f>
        <v>0.30845661107712441</v>
      </c>
      <c r="H89" s="96">
        <f>'IIIb. Coeficientes Energía'!I13</f>
        <v>0.28912395957022291</v>
      </c>
      <c r="J89" s="174">
        <f>$J$50*C89</f>
        <v>14897.070187560281</v>
      </c>
      <c r="K89" s="175">
        <f>$J$51*D89</f>
        <v>14438.348831048041</v>
      </c>
      <c r="L89" s="175">
        <f>$J$52*E89</f>
        <v>6262.9508229691282</v>
      </c>
      <c r="M89" s="175">
        <f>$J$53*F89</f>
        <v>8216.2513848115541</v>
      </c>
      <c r="N89" s="175">
        <f>$J$54*G89</f>
        <v>23.402868132879235</v>
      </c>
      <c r="O89" s="176">
        <f>$J$55*H89</f>
        <v>723.89074727965181</v>
      </c>
    </row>
    <row r="90" spans="1:15" ht="17.399999999999999" x14ac:dyDescent="0.25">
      <c r="A90" s="581"/>
      <c r="B90" s="77" t="s">
        <v>62</v>
      </c>
      <c r="C90" s="87">
        <f>'IIIb. Coeficientes Energía'!D14</f>
        <v>0.5269122245319019</v>
      </c>
      <c r="D90" s="87">
        <f>'IIIb. Coeficientes Energía'!E14</f>
        <v>0.51347843079179079</v>
      </c>
      <c r="E90" s="87">
        <f>'IIIb. Coeficientes Energía'!F14</f>
        <v>0.46739619041237929</v>
      </c>
      <c r="F90" s="87">
        <f>'IIIb. Coeficientes Energía'!G14</f>
        <v>0.48818837634229018</v>
      </c>
      <c r="G90" s="92">
        <f>'IIIb. Coeficientes Energía'!H14</f>
        <v>0.43295867976668961</v>
      </c>
      <c r="H90" s="97">
        <f>'IIIb. Coeficientes Energía'!I14</f>
        <v>0.47238542420061369</v>
      </c>
      <c r="J90" s="177">
        <f>$J$50*C90</f>
        <v>27504.370869212406</v>
      </c>
      <c r="K90" s="178">
        <f>$J$51*D90</f>
        <v>25985.019193713797</v>
      </c>
      <c r="L90" s="178">
        <f>$J$52*E90</f>
        <v>9539.2109088647157</v>
      </c>
      <c r="M90" s="178">
        <f>$J$53*F90</f>
        <v>12667.430888355155</v>
      </c>
      <c r="N90" s="178">
        <f>$J$54*G90</f>
        <v>32.848947066438036</v>
      </c>
      <c r="O90" s="179">
        <f>$J$55*H90</f>
        <v>1182.729505492757</v>
      </c>
    </row>
    <row r="91" spans="1:15" ht="17.399999999999999" x14ac:dyDescent="0.25">
      <c r="A91" s="579" t="s">
        <v>14</v>
      </c>
      <c r="B91" s="76" t="s">
        <v>63</v>
      </c>
      <c r="C91" s="86">
        <f>'IIIb. Coeficientes Energía'!D15</f>
        <v>7.6583627496463358E-2</v>
      </c>
      <c r="D91" s="86">
        <f>'IIIb. Coeficientes Energía'!E15</f>
        <v>8.4402977800747889E-2</v>
      </c>
      <c r="E91" s="86">
        <f>'IIIb. Coeficientes Energía'!F15</f>
        <v>9.4098597398248177E-2</v>
      </c>
      <c r="F91" s="86">
        <f>'IIIb. Coeficientes Energía'!G15</f>
        <v>9.6117998607460592E-2</v>
      </c>
      <c r="G91" s="91">
        <f>'IIIb. Coeficientes Energía'!H15</f>
        <v>0.10381767592508116</v>
      </c>
      <c r="H91" s="96">
        <f>'IIIb. Coeficientes Energía'!I15</f>
        <v>0.11971491726807479</v>
      </c>
      <c r="J91" s="174">
        <f>$K$50*C91</f>
        <v>3299.6037782064</v>
      </c>
      <c r="K91" s="175">
        <f>$K$51*D91</f>
        <v>3641.7402149869872</v>
      </c>
      <c r="L91" s="175">
        <f>$K$52*E91</f>
        <v>2085.5363048410809</v>
      </c>
      <c r="M91" s="175">
        <f>$K$53*F91</f>
        <v>793.63853813109665</v>
      </c>
      <c r="N91" s="175">
        <f>$K$54*G91</f>
        <v>83.787849326783004</v>
      </c>
      <c r="O91" s="176">
        <f>$K$55*H91</f>
        <v>802.67255438358711</v>
      </c>
    </row>
    <row r="92" spans="1:15" ht="17.399999999999999" x14ac:dyDescent="0.25">
      <c r="A92" s="580"/>
      <c r="B92" s="76" t="s">
        <v>64</v>
      </c>
      <c r="C92" s="86">
        <f>'IIIb. Coeficientes Energía'!D16</f>
        <v>5.7372562685683796E-2</v>
      </c>
      <c r="D92" s="86">
        <f>'IIIb. Coeficientes Energía'!E16</f>
        <v>6.1359081789800367E-2</v>
      </c>
      <c r="E92" s="86">
        <f>'IIIb. Coeficientes Energía'!F16</f>
        <v>6.8936773804475812E-2</v>
      </c>
      <c r="F92" s="86">
        <f>'IIIb. Coeficientes Energía'!G16</f>
        <v>5.7176802667561206E-2</v>
      </c>
      <c r="G92" s="91">
        <f>'IIIb. Coeficientes Energía'!H16</f>
        <v>8.0273448196958308E-2</v>
      </c>
      <c r="H92" s="96">
        <f>'IIIb. Coeficientes Energía'!I16</f>
        <v>7.2376144106503157E-2</v>
      </c>
      <c r="J92" s="174">
        <f>$K$50*C92</f>
        <v>2471.8955054957141</v>
      </c>
      <c r="K92" s="175">
        <f>$K$51*D92</f>
        <v>2647.4638873062572</v>
      </c>
      <c r="L92" s="175">
        <f>$K$52*E92</f>
        <v>1527.8670297218316</v>
      </c>
      <c r="M92" s="175">
        <f>$K$53*F92</f>
        <v>472.10423377012853</v>
      </c>
      <c r="N92" s="175">
        <f>$K$54*G92</f>
        <v>64.786073494091326</v>
      </c>
      <c r="O92" s="176">
        <f>$K$55*H92</f>
        <v>485.27239371775363</v>
      </c>
    </row>
    <row r="93" spans="1:15" ht="17.399999999999999" x14ac:dyDescent="0.25">
      <c r="A93" s="580"/>
      <c r="B93" s="76" t="s">
        <v>65</v>
      </c>
      <c r="C93" s="86">
        <f>'IIIb. Coeficientes Energía'!D17</f>
        <v>0.30433992369810209</v>
      </c>
      <c r="D93" s="86">
        <f>'IIIb. Coeficientes Energía'!E17</f>
        <v>0.30518560659322957</v>
      </c>
      <c r="E93" s="86">
        <f>'IIIb. Coeficientes Energía'!F17</f>
        <v>0.33179262769875312</v>
      </c>
      <c r="F93" s="86">
        <f>'IIIb. Coeficientes Energía'!G17</f>
        <v>0.33321118542996897</v>
      </c>
      <c r="G93" s="91">
        <f>'IIIb. Coeficientes Energía'!H17</f>
        <v>0.339517695698491</v>
      </c>
      <c r="H93" s="96">
        <f>'IIIb. Coeficientes Energía'!I17</f>
        <v>0.30681011616039988</v>
      </c>
      <c r="J93" s="174">
        <f>$K$50*C93</f>
        <v>13112.47840982303</v>
      </c>
      <c r="K93" s="175">
        <f>$K$51*D93</f>
        <v>13167.861200223126</v>
      </c>
      <c r="L93" s="175">
        <f>$K$52*E93</f>
        <v>7353.6225818096236</v>
      </c>
      <c r="M93" s="175">
        <f>$K$53*F93</f>
        <v>2751.297799838334</v>
      </c>
      <c r="N93" s="175">
        <f>$K$54*G93</f>
        <v>274.01362318580999</v>
      </c>
      <c r="O93" s="176">
        <f>$K$55*H93</f>
        <v>2057.1209108195849</v>
      </c>
    </row>
    <row r="94" spans="1:15" ht="16.2" x14ac:dyDescent="0.25">
      <c r="A94" s="581"/>
      <c r="B94" s="77" t="s">
        <v>66</v>
      </c>
      <c r="C94" s="87">
        <f>'IIIb. Coeficientes Energía'!D18</f>
        <v>0.56170388611975075</v>
      </c>
      <c r="D94" s="87">
        <f>'IIIb. Coeficientes Energía'!E18</f>
        <v>0.54905233381622209</v>
      </c>
      <c r="E94" s="87">
        <f>'IIIb. Coeficientes Energía'!F18</f>
        <v>0.50517200109852278</v>
      </c>
      <c r="F94" s="87">
        <f>'IIIb. Coeficientes Energía'!G18</f>
        <v>0.5134940132950091</v>
      </c>
      <c r="G94" s="92">
        <f>'IIIb. Coeficientes Energía'!H18</f>
        <v>0.4763911801794698</v>
      </c>
      <c r="H94" s="97">
        <f>'IIIb. Coeficientes Energía'!I18</f>
        <v>0.50109882246502213</v>
      </c>
      <c r="J94" s="177">
        <f>$K$50*C94</f>
        <v>24200.998639814199</v>
      </c>
      <c r="K94" s="178">
        <f>$K$51*D94</f>
        <v>23689.993129285995</v>
      </c>
      <c r="L94" s="178">
        <f>$K$52*E94</f>
        <v>11196.283234927385</v>
      </c>
      <c r="M94" s="178">
        <f>$K$53*F94</f>
        <v>4239.8785238427654</v>
      </c>
      <c r="N94" s="178">
        <f>$K$54*G94</f>
        <v>384.47973401264085</v>
      </c>
      <c r="O94" s="179">
        <f>$K$55*H94</f>
        <v>3359.8007750857737</v>
      </c>
    </row>
    <row r="95" spans="1:15" ht="17.399999999999999" x14ac:dyDescent="0.25">
      <c r="A95" s="579" t="s">
        <v>15</v>
      </c>
      <c r="B95" s="76" t="s">
        <v>67</v>
      </c>
      <c r="C95" s="86">
        <f>'IIIb. Coeficientes Energía'!D19</f>
        <v>9.3311448852489848E-2</v>
      </c>
      <c r="D95" s="86">
        <f>'IIIb. Coeficientes Energía'!E19</f>
        <v>0.10612081521209225</v>
      </c>
      <c r="E95" s="86">
        <f>'IIIb. Coeficientes Energía'!F19</f>
        <v>0.10672343734675509</v>
      </c>
      <c r="F95" s="86">
        <f>'IIIb. Coeficientes Energía'!G19</f>
        <v>0.1323052287646885</v>
      </c>
      <c r="G95" s="91">
        <f>'IIIb. Coeficientes Energía'!H19</f>
        <v>0.11214395980896369</v>
      </c>
      <c r="H95" s="96">
        <f>'IIIb. Coeficientes Energía'!I19</f>
        <v>0.16054179828340306</v>
      </c>
      <c r="J95" s="174">
        <f>$L$50*C95</f>
        <v>13087.610104841418</v>
      </c>
      <c r="K95" s="175">
        <f>$L$51*D95</f>
        <v>14581.340493367559</v>
      </c>
      <c r="L95" s="175">
        <f>$L$52*E95</f>
        <v>6875.1766999647343</v>
      </c>
      <c r="M95" s="175">
        <f>$L$53*F95</f>
        <v>6662.0967996024501</v>
      </c>
      <c r="N95" s="175">
        <f>$L$54*G95</f>
        <v>91.447714456558472</v>
      </c>
      <c r="O95" s="176">
        <f>$L$55*H95</f>
        <v>2323.7181459590752</v>
      </c>
    </row>
    <row r="96" spans="1:15" ht="17.399999999999999" x14ac:dyDescent="0.25">
      <c r="A96" s="580"/>
      <c r="B96" s="76" t="s">
        <v>68</v>
      </c>
      <c r="C96" s="86">
        <f>'IIIb. Coeficientes Energía'!D20</f>
        <v>3.3077918734694525E-2</v>
      </c>
      <c r="D96" s="86">
        <f>'IIIb. Coeficientes Energía'!E20</f>
        <v>3.592059058602394E-2</v>
      </c>
      <c r="E96" s="86">
        <f>'IIIb. Coeficientes Energía'!F20</f>
        <v>4.0840027618163625E-2</v>
      </c>
      <c r="F96" s="86">
        <f>'IIIb. Coeficientes Energía'!G20</f>
        <v>3.878317275125058E-2</v>
      </c>
      <c r="G96" s="91">
        <f>'IIIb. Coeficientes Energía'!H20</f>
        <v>4.6206772754393888E-2</v>
      </c>
      <c r="H96" s="96">
        <f>'IIIb. Coeficientes Energía'!I20</f>
        <v>4.9789410349157431E-2</v>
      </c>
      <c r="J96" s="174">
        <f>$L$50*C96</f>
        <v>4639.4189437961977</v>
      </c>
      <c r="K96" s="175">
        <f>$L$51*D96</f>
        <v>4935.6043959035269</v>
      </c>
      <c r="L96" s="175">
        <f>$L$52*E96</f>
        <v>2630.9348095116616</v>
      </c>
      <c r="M96" s="175">
        <f>$L$53*F96</f>
        <v>1952.887678566902</v>
      </c>
      <c r="N96" s="175">
        <f>$L$54*G96</f>
        <v>37.679280881475997</v>
      </c>
      <c r="O96" s="176">
        <f>$L$55*H96</f>
        <v>720.66313908295422</v>
      </c>
    </row>
    <row r="97" spans="1:15" ht="17.399999999999999" x14ac:dyDescent="0.25">
      <c r="A97" s="580"/>
      <c r="B97" s="76" t="s">
        <v>69</v>
      </c>
      <c r="C97" s="86">
        <f>'IIIb. Coeficientes Energía'!D21</f>
        <v>6.9637582922362232E-2</v>
      </c>
      <c r="D97" s="86">
        <f>'IIIb. Coeficientes Energía'!E21</f>
        <v>7.3265371293905854E-2</v>
      </c>
      <c r="E97" s="86">
        <f>'IIIb. Coeficientes Energía'!F21</f>
        <v>8.1887920643897605E-2</v>
      </c>
      <c r="F97" s="86">
        <f>'IIIb. Coeficientes Energía'!G21</f>
        <v>6.8806404310407909E-2</v>
      </c>
      <c r="G97" s="91">
        <f>'IIIb. Coeficientes Energía'!H21</f>
        <v>9.3405360686143163E-2</v>
      </c>
      <c r="H97" s="96">
        <f>'IIIb. Coeficientes Energía'!I21</f>
        <v>8.0725720045594279E-2</v>
      </c>
      <c r="J97" s="174">
        <f>$L$50*C97</f>
        <v>9767.1780380583114</v>
      </c>
      <c r="K97" s="175">
        <f>$L$51*D97</f>
        <v>10066.897083991747</v>
      </c>
      <c r="L97" s="175">
        <f>$L$52*E97</f>
        <v>5275.2604115463655</v>
      </c>
      <c r="M97" s="175">
        <f>$L$53*F97</f>
        <v>3464.6773240065909</v>
      </c>
      <c r="N97" s="175">
        <f>$L$54*G97</f>
        <v>76.167336763290677</v>
      </c>
      <c r="O97" s="176">
        <f>$L$55*H97</f>
        <v>1168.4422531783252</v>
      </c>
    </row>
    <row r="98" spans="1:15" ht="17.399999999999999" x14ac:dyDescent="0.25">
      <c r="A98" s="580"/>
      <c r="B98" s="76" t="s">
        <v>70</v>
      </c>
      <c r="C98" s="86">
        <f>'IIIb. Coeficientes Energía'!D22</f>
        <v>0.28251944523383876</v>
      </c>
      <c r="D98" s="86">
        <f>'IIIb. Coeficientes Energía'!E22</f>
        <v>0.28033228268699384</v>
      </c>
      <c r="E98" s="86">
        <f>'IIIb. Coeficientes Energía'!F22</f>
        <v>0.305455937767727</v>
      </c>
      <c r="F98" s="86">
        <f>'IIIb. Coeficientes Energía'!G22</f>
        <v>0.29911981583024094</v>
      </c>
      <c r="G98" s="91">
        <f>'IIIb. Coeficientes Energía'!H22</f>
        <v>0.31135412878827556</v>
      </c>
      <c r="H98" s="96">
        <f>'IIIb. Coeficientes Energía'!I22</f>
        <v>0.26922038115590829</v>
      </c>
      <c r="J98" s="174">
        <f>$L$50*C98</f>
        <v>39625.409226061107</v>
      </c>
      <c r="K98" s="175">
        <f>$L$51*D98</f>
        <v>38518.555073031974</v>
      </c>
      <c r="L98" s="175">
        <f>$L$52*E98</f>
        <v>19677.622820404846</v>
      </c>
      <c r="M98" s="175">
        <f>$L$53*F98</f>
        <v>15061.877647213441</v>
      </c>
      <c r="N98" s="175">
        <f>$L$54*G98</f>
        <v>253.89350895762584</v>
      </c>
      <c r="O98" s="176">
        <f>$L$55*H98</f>
        <v>3896.756431304264</v>
      </c>
    </row>
    <row r="99" spans="1:15" ht="18" thickBot="1" x14ac:dyDescent="0.3">
      <c r="A99" s="582"/>
      <c r="B99" s="78" t="s">
        <v>71</v>
      </c>
      <c r="C99" s="88">
        <f>'IIIb. Coeficientes Energía'!D23</f>
        <v>0.52145360425661469</v>
      </c>
      <c r="D99" s="88">
        <f>'IIIb. Coeficientes Energía'!E23</f>
        <v>0.5043609402209841</v>
      </c>
      <c r="E99" s="88">
        <f>'IIIb. Coeficientes Energía'!F23</f>
        <v>0.46509267662345666</v>
      </c>
      <c r="F99" s="88">
        <f>'IIIb. Coeficientes Energía'!G23</f>
        <v>0.46098537834341191</v>
      </c>
      <c r="G99" s="93">
        <f>'IIIb. Coeficientes Energía'!H23</f>
        <v>0.43688977796222372</v>
      </c>
      <c r="H99" s="98">
        <f>'IIIb. Coeficientes Energía'!I23</f>
        <v>0.4397226901659369</v>
      </c>
      <c r="J99" s="180">
        <f>$L$50*C99</f>
        <v>73137.664715327672</v>
      </c>
      <c r="K99" s="181">
        <f>$L$51*D99</f>
        <v>69300.811402730047</v>
      </c>
      <c r="L99" s="181">
        <f>$L$52*E99</f>
        <v>29961.500614495009</v>
      </c>
      <c r="M99" s="181">
        <f>$L$53*F99</f>
        <v>23212.455338309621</v>
      </c>
      <c r="N99" s="181">
        <f>$L$54*G99</f>
        <v>356.26146724386712</v>
      </c>
      <c r="O99" s="182">
        <f>$L$55*H99</f>
        <v>6364.6452528503996</v>
      </c>
    </row>
  </sheetData>
  <mergeCells count="18"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  <mergeCell ref="A91:A94"/>
    <mergeCell ref="A95:A99"/>
    <mergeCell ref="A66:A67"/>
    <mergeCell ref="A68:A70"/>
    <mergeCell ref="A71:A74"/>
    <mergeCell ref="A75:A79"/>
    <mergeCell ref="A86:A87"/>
    <mergeCell ref="A88:A9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B106"/>
  <sheetViews>
    <sheetView showGridLines="0" tabSelected="1" topLeftCell="A56" zoomScaleNormal="100" workbookViewId="0">
      <selection activeCell="O88" sqref="O88"/>
    </sheetView>
  </sheetViews>
  <sheetFormatPr baseColWidth="10" defaultRowHeight="13.2" x14ac:dyDescent="0.25"/>
  <cols>
    <col min="2" max="2" width="14.109375" customWidth="1"/>
    <col min="3" max="3" width="15.44140625" customWidth="1"/>
    <col min="4" max="4" width="17" customWidth="1"/>
    <col min="5" max="5" width="13.33203125" customWidth="1"/>
    <col min="6" max="6" width="13.6640625" bestFit="1" customWidth="1"/>
    <col min="7" max="7" width="18.44140625" customWidth="1"/>
    <col min="8" max="8" width="2.33203125" customWidth="1"/>
    <col min="9" max="9" width="19.33203125" customWidth="1"/>
    <col min="10" max="12" width="12.88671875" bestFit="1" customWidth="1"/>
    <col min="13" max="13" width="11.88671875" bestFit="1" customWidth="1"/>
    <col min="14" max="14" width="12.88671875" bestFit="1" customWidth="1"/>
    <col min="15" max="15" width="5.44140625" customWidth="1"/>
    <col min="16" max="16" width="12.88671875" bestFit="1" customWidth="1"/>
    <col min="22" max="22" width="2.10937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402" customFormat="1" ht="30" customHeight="1" x14ac:dyDescent="0.25">
      <c r="A6" s="402" t="s">
        <v>195</v>
      </c>
    </row>
    <row r="7" spans="1:14" s="5" customFormat="1" ht="16.5" customHeight="1" x14ac:dyDescent="0.25">
      <c r="A7" s="5" t="s">
        <v>205</v>
      </c>
    </row>
    <row r="8" spans="1:14" ht="5.0999999999999996" customHeight="1" thickBot="1" x14ac:dyDescent="0.3"/>
    <row r="9" spans="1:14" ht="25.5" customHeight="1" thickBot="1" x14ac:dyDescent="0.3">
      <c r="B9" s="317" t="s">
        <v>98</v>
      </c>
      <c r="C9" s="199"/>
      <c r="D9" s="199"/>
      <c r="E9" s="199"/>
      <c r="F9" s="199"/>
      <c r="G9" s="200"/>
      <c r="I9" s="317" t="s">
        <v>99</v>
      </c>
      <c r="J9" s="199"/>
      <c r="K9" s="199"/>
      <c r="L9" s="199"/>
      <c r="M9" s="199"/>
      <c r="N9" s="200"/>
    </row>
    <row r="10" spans="1:14" ht="13.8" thickBot="1" x14ac:dyDescent="0.3"/>
    <row r="11" spans="1:14" ht="24.9" customHeight="1" x14ac:dyDescent="0.25">
      <c r="A11" s="599" t="s">
        <v>56</v>
      </c>
      <c r="B11" s="183" t="s">
        <v>107</v>
      </c>
      <c r="C11" s="183"/>
      <c r="D11" s="183"/>
      <c r="E11" s="183"/>
      <c r="F11" s="183"/>
      <c r="G11" s="184"/>
      <c r="I11" s="201" t="s">
        <v>107</v>
      </c>
      <c r="J11" s="183"/>
      <c r="K11" s="183"/>
      <c r="L11" s="183"/>
      <c r="M11" s="183"/>
      <c r="N11" s="184"/>
    </row>
    <row r="12" spans="1:14" ht="24.9" customHeight="1" x14ac:dyDescent="0.25">
      <c r="A12" s="600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5">
      <c r="A13" s="189" t="s">
        <v>11</v>
      </c>
      <c r="B13" s="190">
        <f>'IV. Metodología de asignación'!J79</f>
        <v>247932.15396791685</v>
      </c>
      <c r="C13" s="190">
        <f>'IV. Metodología de asignación'!K79</f>
        <v>211488.28513985479</v>
      </c>
      <c r="D13" s="190">
        <f>'IV. Metodología de asignación'!L79</f>
        <v>93766.94858329375</v>
      </c>
      <c r="E13" s="190">
        <f>'IV. Metodología de asignación'!M79</f>
        <v>73874.287474561686</v>
      </c>
      <c r="F13" s="190">
        <f>'IV. Metodología de asignación'!N79</f>
        <v>1122.6461536918791</v>
      </c>
      <c r="G13" s="191">
        <f>'IV. Metodología de asignación'!O79</f>
        <v>25783.959117406779</v>
      </c>
      <c r="I13" s="203">
        <f>'IV. Metodología de asignación'!J99</f>
        <v>73137.664715327672</v>
      </c>
      <c r="J13" s="190">
        <f>'IV. Metodología de asignación'!K99</f>
        <v>69300.811402730047</v>
      </c>
      <c r="K13" s="190">
        <f>'IV. Metodología de asignación'!L99</f>
        <v>29961.500614495009</v>
      </c>
      <c r="L13" s="190">
        <f>'IV. Metodología de asignación'!M99</f>
        <v>23212.455338309621</v>
      </c>
      <c r="M13" s="190">
        <f>'IV. Metodología de asignación'!N99</f>
        <v>356.26146724386712</v>
      </c>
      <c r="N13" s="191">
        <f>'IV. Metodología de asignación'!O99</f>
        <v>6364.6452528503996</v>
      </c>
    </row>
    <row r="14" spans="1:14" ht="15" customHeight="1" x14ac:dyDescent="0.25">
      <c r="A14" s="192" t="s">
        <v>12</v>
      </c>
      <c r="B14" s="193">
        <f>'IV. Metodología de asignación'!J78</f>
        <v>96970.969094935615</v>
      </c>
      <c r="C14" s="193">
        <f>'IV. Metodología de asignación'!K78</f>
        <v>127781.0153419979</v>
      </c>
      <c r="D14" s="193">
        <f>'IV. Metodología de asignación'!L78</f>
        <v>62253.779876900982</v>
      </c>
      <c r="E14" s="193">
        <f>'IV. Metodología de asignación'!M78</f>
        <v>48066.537305415819</v>
      </c>
      <c r="F14" s="193">
        <f>'IV. Metodología de asignación'!N78</f>
        <v>717.22894890650321</v>
      </c>
      <c r="G14" s="194">
        <f>'IV. Metodología de asignación'!O78</f>
        <v>8471.8385591658116</v>
      </c>
      <c r="I14" s="204">
        <f>'IV. Metodología de asignación'!J98</f>
        <v>39625.409226061107</v>
      </c>
      <c r="J14" s="193">
        <f>'IV. Metodología de asignación'!K98</f>
        <v>38518.555073031974</v>
      </c>
      <c r="K14" s="193">
        <f>'IV. Metodología de asignación'!L98</f>
        <v>19677.622820404846</v>
      </c>
      <c r="L14" s="193">
        <f>'IV. Metodología de asignación'!M98</f>
        <v>15061.877647213441</v>
      </c>
      <c r="M14" s="193">
        <f>'IV. Metodología de asignación'!N98</f>
        <v>253.89350895762584</v>
      </c>
      <c r="N14" s="194">
        <f>'IV. Metodología de asignación'!O98</f>
        <v>3896.756431304264</v>
      </c>
    </row>
    <row r="15" spans="1:14" ht="15" customHeight="1" x14ac:dyDescent="0.25">
      <c r="A15" s="192" t="s">
        <v>13</v>
      </c>
      <c r="B15" s="193">
        <f>'IV. Metodología de asignación'!J77</f>
        <v>26247.145943723746</v>
      </c>
      <c r="C15" s="193">
        <f>'IV. Metodología de asignación'!K77</f>
        <v>28775.731737406215</v>
      </c>
      <c r="D15" s="193">
        <f>'IV. Metodología de asignación'!L77</f>
        <v>14656.715252691703</v>
      </c>
      <c r="E15" s="193">
        <f>'IV. Metodología de asignación'!M77</f>
        <v>11322.613327541472</v>
      </c>
      <c r="F15" s="193">
        <f>'IV. Metodología de asignación'!N77</f>
        <v>188.72903918268389</v>
      </c>
      <c r="G15" s="194">
        <f>'IV. Metodología de asignación'!O77</f>
        <v>2304.7213338713777</v>
      </c>
      <c r="I15" s="204">
        <f>'IV. Metodología de asignación'!J97</f>
        <v>9767.1780380583114</v>
      </c>
      <c r="J15" s="193">
        <f>'IV. Metodología de asignación'!K97</f>
        <v>10066.897083991747</v>
      </c>
      <c r="K15" s="193">
        <f>'IV. Metodología de asignación'!L97</f>
        <v>5275.2604115463655</v>
      </c>
      <c r="L15" s="193">
        <f>'IV. Metodología de asignación'!M97</f>
        <v>3464.6773240065909</v>
      </c>
      <c r="M15" s="193">
        <f>'IV. Metodología de asignación'!N97</f>
        <v>76.167336763290677</v>
      </c>
      <c r="N15" s="194">
        <f>'IV. Metodología de asignación'!O97</f>
        <v>1168.4422531783252</v>
      </c>
    </row>
    <row r="16" spans="1:14" ht="15" customHeight="1" x14ac:dyDescent="0.25">
      <c r="A16" s="192" t="s">
        <v>14</v>
      </c>
      <c r="B16" s="193">
        <f>'IV. Metodología de asignación'!J76</f>
        <v>11608.40812262313</v>
      </c>
      <c r="C16" s="193">
        <f>'IV. Metodología de asignación'!K76</f>
        <v>13119.796909783303</v>
      </c>
      <c r="D16" s="193">
        <f>'IV. Metodología de asignación'!L76</f>
        <v>6642.0172483387878</v>
      </c>
      <c r="E16" s="193">
        <f>'IV. Metodología de asignación'!M76</f>
        <v>5263.2026143609646</v>
      </c>
      <c r="F16" s="193">
        <f>'IV. Metodología de asignación'!N76</f>
        <v>95.091912591071079</v>
      </c>
      <c r="G16" s="194">
        <f>'IV. Metodología de asignación'!O76</f>
        <v>1440.6749997897793</v>
      </c>
      <c r="I16" s="204">
        <f>'IV. Metodología de asignación'!J96</f>
        <v>4639.4189437961977</v>
      </c>
      <c r="J16" s="193">
        <f>'IV. Metodología de asignación'!K96</f>
        <v>4935.6043959035269</v>
      </c>
      <c r="K16" s="193">
        <f>'IV. Metodología de asignación'!L96</f>
        <v>2630.9348095116616</v>
      </c>
      <c r="L16" s="193">
        <f>'IV. Metodología de asignación'!M96</f>
        <v>1952.887678566902</v>
      </c>
      <c r="M16" s="193">
        <f>'IV. Metodología de asignación'!N96</f>
        <v>37.679280881475997</v>
      </c>
      <c r="N16" s="194">
        <f>'IV. Metodología de asignación'!O96</f>
        <v>720.66313908295422</v>
      </c>
    </row>
    <row r="17" spans="1:28" ht="15" customHeight="1" thickBot="1" x14ac:dyDescent="0.3">
      <c r="A17" s="195" t="s">
        <v>15</v>
      </c>
      <c r="B17" s="196">
        <f>'IV. Metodología de asignación'!J75</f>
        <v>38013.165955054785</v>
      </c>
      <c r="C17" s="196">
        <f>'IV. Metodología de asignación'!K75</f>
        <v>31044.796218032232</v>
      </c>
      <c r="D17" s="196">
        <f>'IV. Metodología de asignación'!L75</f>
        <v>15942.02510654268</v>
      </c>
      <c r="E17" s="196">
        <f>'IV. Metodología de asignación'!M75</f>
        <v>12535.343641217092</v>
      </c>
      <c r="F17" s="196">
        <f>'IV. Metodología de asignación'!N75</f>
        <v>322.65187053631649</v>
      </c>
      <c r="G17" s="197">
        <f>'IV. Metodología de asignación'!O75</f>
        <v>5421.4816568913011</v>
      </c>
      <c r="I17" s="205">
        <f>'IV. Metodología de asignación'!J95</f>
        <v>13087.610104841418</v>
      </c>
      <c r="J17" s="196">
        <f>'IV. Metodología de asignación'!K95</f>
        <v>14581.340493367559</v>
      </c>
      <c r="K17" s="196">
        <f>'IV. Metodología de asignación'!L95</f>
        <v>6875.1766999647343</v>
      </c>
      <c r="L17" s="196">
        <f>'IV. Metodología de asignación'!M95</f>
        <v>6662.0967996024501</v>
      </c>
      <c r="M17" s="196">
        <f>'IV. Metodología de asignación'!N95</f>
        <v>91.447714456558472</v>
      </c>
      <c r="N17" s="197">
        <f>'IV. Metodología de asignación'!O95</f>
        <v>2323.7181459590752</v>
      </c>
    </row>
    <row r="18" spans="1:28" ht="13.8" thickBot="1" x14ac:dyDescent="0.3">
      <c r="B18" s="239"/>
      <c r="C18" s="239"/>
      <c r="D18" s="239"/>
      <c r="E18" s="239"/>
      <c r="F18" s="239"/>
      <c r="G18" s="239"/>
      <c r="N18" s="239">
        <f>SUM(I13:N17)-'IV. Metodología de asignación'!D23</f>
        <v>0</v>
      </c>
    </row>
    <row r="19" spans="1:28" ht="24" customHeight="1" x14ac:dyDescent="0.25">
      <c r="A19" s="599" t="s">
        <v>56</v>
      </c>
      <c r="B19" s="183" t="s">
        <v>108</v>
      </c>
      <c r="C19" s="183"/>
      <c r="D19" s="183"/>
      <c r="E19" s="183"/>
      <c r="F19" s="183"/>
      <c r="G19" s="184"/>
      <c r="I19" s="201" t="s">
        <v>115</v>
      </c>
      <c r="J19" s="183"/>
      <c r="K19" s="183"/>
      <c r="L19" s="183"/>
      <c r="M19" s="183"/>
      <c r="N19" s="184"/>
    </row>
    <row r="20" spans="1:28" ht="24" customHeight="1" x14ac:dyDescent="0.25">
      <c r="A20" s="600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28" ht="15" customHeight="1" x14ac:dyDescent="0.25">
      <c r="A21" s="189" t="s">
        <v>11</v>
      </c>
      <c r="B21" s="190">
        <f>'I. Datos de entrada'!C115+'I. Datos de entrada'!C116</f>
        <v>143258.48294943862</v>
      </c>
      <c r="C21" s="190">
        <f>'I. Datos de entrada'!D115+'I. Datos de entrada'!D116</f>
        <v>144214.6969142188</v>
      </c>
      <c r="D21" s="190">
        <f>'I. Datos de entrada'!E115+'I. Datos de entrada'!E116</f>
        <v>144463.93706549393</v>
      </c>
      <c r="E21" s="190">
        <f>'I. Datos de entrada'!F115+'I. Datos de entrada'!F116</f>
        <v>144485.11514191373</v>
      </c>
      <c r="F21" s="190">
        <f>'I. Datos de entrada'!G115+'I. Datos de entrada'!G116</f>
        <v>144506.40005040384</v>
      </c>
      <c r="G21" s="191">
        <f>'I. Datos de entrada'!H115+'I. Datos de entrada'!H116</f>
        <v>146463.80108827617</v>
      </c>
      <c r="I21" s="203">
        <f>('I. Datos de entrada'!C102+'I. Datos de entrada'!C103)*1000</f>
        <v>13299340.090855259</v>
      </c>
      <c r="J21" s="190">
        <f>('I. Datos de entrada'!D102+'I. Datos de entrada'!D103)*1000</f>
        <v>14949695.224299019</v>
      </c>
      <c r="K21" s="190">
        <f>('I. Datos de entrada'!E102+'I. Datos de entrada'!E103)*1000</f>
        <v>12124734.262163289</v>
      </c>
      <c r="L21" s="190">
        <f>('I. Datos de entrada'!F102+'I. Datos de entrada'!F103)*1000</f>
        <v>14223350.4505085</v>
      </c>
      <c r="M21" s="190">
        <f>('I. Datos de entrada'!G102+'I. Datos de entrada'!G103)*1000</f>
        <v>5785119.6863571592</v>
      </c>
      <c r="N21" s="191">
        <f>('I. Datos de entrada'!H102+'I. Datos de entrada'!H103)*1000</f>
        <v>49393313.394080982</v>
      </c>
    </row>
    <row r="22" spans="1:28" ht="15" customHeight="1" x14ac:dyDescent="0.25">
      <c r="A22" s="192" t="s">
        <v>12</v>
      </c>
      <c r="B22" s="193">
        <f>'I. Datos de entrada'!C117</f>
        <v>17012.610567571079</v>
      </c>
      <c r="C22" s="193">
        <f>'I. Datos de entrada'!D117</f>
        <v>17937.852627996705</v>
      </c>
      <c r="D22" s="193">
        <f>'I. Datos de entrada'!E117</f>
        <v>18119.653703613763</v>
      </c>
      <c r="E22" s="193">
        <f>'I. Datos de entrada'!F117</f>
        <v>18207.638036484248</v>
      </c>
      <c r="F22" s="193">
        <f>'I. Datos de entrada'!G117</f>
        <v>18480.86199657304</v>
      </c>
      <c r="G22" s="194">
        <f>'I. Datos de entrada'!H117</f>
        <v>25348.347837581165</v>
      </c>
      <c r="I22" s="204">
        <f>'I. Datos de entrada'!C104*1000</f>
        <v>7072757.7099391241</v>
      </c>
      <c r="J22" s="193">
        <f>'I. Datos de entrada'!D104*1000</f>
        <v>8409134.7266939711</v>
      </c>
      <c r="K22" s="193">
        <f>'I. Datos de entrada'!E104*1000</f>
        <v>7450615.1074706772</v>
      </c>
      <c r="L22" s="193">
        <f>'I. Datos de entrada'!F104*1000</f>
        <v>8977440.4744101148</v>
      </c>
      <c r="M22" s="193">
        <f>'I. Datos de entrada'!G104*1000</f>
        <v>4318179.2163320277</v>
      </c>
      <c r="N22" s="194">
        <f>'I. Datos de entrada'!H104*1000</f>
        <v>31001496.799615294</v>
      </c>
    </row>
    <row r="23" spans="1:28" ht="15" customHeight="1" x14ac:dyDescent="0.25">
      <c r="A23" s="192" t="s">
        <v>13</v>
      </c>
      <c r="B23" s="193">
        <f>'I. Datos de entrada'!C118</f>
        <v>3970.6963427662131</v>
      </c>
      <c r="C23" s="193">
        <f>'I. Datos de entrada'!D118</f>
        <v>4116.6602307452276</v>
      </c>
      <c r="D23" s="193">
        <f>'I. Datos de entrada'!E118</f>
        <v>4194.9984366623758</v>
      </c>
      <c r="E23" s="193">
        <f>'I. Datos de entrada'!F118</f>
        <v>4215.1374806962212</v>
      </c>
      <c r="F23" s="193">
        <f>'I. Datos de entrada'!G118</f>
        <v>4504.7950865510784</v>
      </c>
      <c r="G23" s="194">
        <f>'I. Datos de entrada'!H118</f>
        <v>6012.8683636396909</v>
      </c>
      <c r="I23" s="204">
        <f>'I. Datos de entrada'!C105*1000</f>
        <v>2126100.9989760602</v>
      </c>
      <c r="J23" s="193">
        <f>'I. Datos de entrada'!D105*1000</f>
        <v>2715569.8203525455</v>
      </c>
      <c r="K23" s="193">
        <f>'I. Datos de entrada'!E105*1000</f>
        <v>2316677.9178714985</v>
      </c>
      <c r="L23" s="193">
        <f>'I. Datos de entrada'!F105*1000</f>
        <v>2863720.6580177299</v>
      </c>
      <c r="M23" s="193">
        <f>'I. Datos de entrada'!G105*1000</f>
        <v>1481271.6546680091</v>
      </c>
      <c r="N23" s="194">
        <f>'I. Datos de entrada'!H105*1000</f>
        <v>11859907.218082454</v>
      </c>
    </row>
    <row r="24" spans="1:28" ht="15" customHeight="1" x14ac:dyDescent="0.25">
      <c r="A24" s="192" t="s">
        <v>14</v>
      </c>
      <c r="B24" s="193">
        <f>'I. Datos de entrada'!C119</f>
        <v>1787.216878125703</v>
      </c>
      <c r="C24" s="193">
        <f>'I. Datos de entrada'!D119</f>
        <v>1876.3155567956067</v>
      </c>
      <c r="D24" s="193">
        <f>'I. Datos de entrada'!E119</f>
        <v>1907.8461135755629</v>
      </c>
      <c r="E24" s="193">
        <f>'I. Datos de entrada'!F119</f>
        <v>1981.6688126554102</v>
      </c>
      <c r="F24" s="193">
        <f>'I. Datos de entrada'!G119</f>
        <v>2052.9954840015498</v>
      </c>
      <c r="G24" s="194">
        <f>'I. Datos de entrada'!H119</f>
        <v>2568.9208686883067</v>
      </c>
      <c r="I24" s="204">
        <f>'I. Datos de entrada'!C106*1000</f>
        <v>822962.16215613717</v>
      </c>
      <c r="J24" s="193">
        <f>'I. Datos de entrada'!D106*1000</f>
        <v>1062104.4972929859</v>
      </c>
      <c r="K24" s="193">
        <f>'I. Datos de entrada'!E106*1000</f>
        <v>955246.77742184547</v>
      </c>
      <c r="L24" s="193">
        <f>'I. Datos de entrada'!F106*1000</f>
        <v>1199642.537537799</v>
      </c>
      <c r="M24" s="193">
        <f>'I. Datos de entrada'!G106*1000</f>
        <v>610681.25451277907</v>
      </c>
      <c r="N24" s="194">
        <f>'I. Datos de entrada'!H106*1000</f>
        <v>5622032.5561896451</v>
      </c>
    </row>
    <row r="25" spans="1:28" ht="15" customHeight="1" thickBot="1" x14ac:dyDescent="0.3">
      <c r="A25" s="195" t="s">
        <v>15</v>
      </c>
      <c r="B25" s="196">
        <f>'I. Datos de entrada'!C120</f>
        <v>3154.3169010474339</v>
      </c>
      <c r="C25" s="196">
        <f>'I. Datos de entrada'!D120</f>
        <v>3361.085233512777</v>
      </c>
      <c r="D25" s="196">
        <f>'I. Datos de entrada'!E120</f>
        <v>3588.4650417426856</v>
      </c>
      <c r="E25" s="196">
        <f>'I. Datos de entrada'!F120</f>
        <v>3719.961348483534</v>
      </c>
      <c r="F25" s="196">
        <f>'I. Datos de entrada'!G120</f>
        <v>4032.3582937780266</v>
      </c>
      <c r="G25" s="197">
        <f>'I. Datos de entrada'!H120</f>
        <v>5107.7704342897714</v>
      </c>
      <c r="I25" s="205">
        <f>'I. Datos de entrada'!C107*1000</f>
        <v>1491401.686678353</v>
      </c>
      <c r="J25" s="196">
        <f>'I. Datos de entrada'!D107*1000</f>
        <v>2088164.4658090326</v>
      </c>
      <c r="K25" s="196">
        <f>'I. Datos de entrada'!E107*1000</f>
        <v>1705499.952392509</v>
      </c>
      <c r="L25" s="196">
        <f>'I. Datos de entrada'!F107*1000</f>
        <v>2223991.0214558057</v>
      </c>
      <c r="M25" s="196">
        <f>'I. Datos de entrada'!G107*1000</f>
        <v>1394245.9256797303</v>
      </c>
      <c r="N25" s="197">
        <f>'I. Datos de entrada'!H107*1000</f>
        <v>12427042.103886871</v>
      </c>
    </row>
    <row r="26" spans="1:28" ht="13.8" thickBot="1" x14ac:dyDescent="0.3">
      <c r="A26" s="187"/>
      <c r="B26" s="188"/>
      <c r="C26" s="188"/>
      <c r="D26" s="188"/>
      <c r="E26" s="188"/>
      <c r="F26" s="188"/>
      <c r="G26" s="188"/>
      <c r="I26" s="188">
        <f>SUM(I21:I25)-'I. Datos de entrada'!C109*1000</f>
        <v>0</v>
      </c>
      <c r="J26" s="188">
        <f>SUM(J21:J25)-'I. Datos de entrada'!D109*1000</f>
        <v>0</v>
      </c>
      <c r="K26" s="188">
        <f>SUM(K21:K25)-'I. Datos de entrada'!E109*1000</f>
        <v>0</v>
      </c>
      <c r="L26" s="188">
        <f>SUM(L21:L25)-'I. Datos de entrada'!F109*1000</f>
        <v>0</v>
      </c>
      <c r="M26" s="188">
        <f>SUM(M21:M25)-'I. Datos de entrada'!G109*1000</f>
        <v>0</v>
      </c>
      <c r="N26" s="188">
        <f>SUM(N21:N25)-'I. Datos de entrada'!H109*1000</f>
        <v>0</v>
      </c>
    </row>
    <row r="27" spans="1:28" ht="24" customHeight="1" x14ac:dyDescent="0.25">
      <c r="A27" s="599" t="s">
        <v>56</v>
      </c>
      <c r="B27" s="183" t="s">
        <v>109</v>
      </c>
      <c r="C27" s="183"/>
      <c r="D27" s="183"/>
      <c r="E27" s="183"/>
      <c r="F27" s="183"/>
      <c r="G27" s="184"/>
      <c r="I27" s="201" t="s">
        <v>114</v>
      </c>
      <c r="J27" s="183"/>
      <c r="K27" s="183"/>
      <c r="L27" s="183"/>
      <c r="M27" s="183"/>
      <c r="N27" s="184"/>
    </row>
    <row r="28" spans="1:28" ht="24" customHeight="1" x14ac:dyDescent="0.25">
      <c r="A28" s="600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28" ht="15" customHeight="1" x14ac:dyDescent="0.25">
      <c r="A29" s="189" t="s">
        <v>11</v>
      </c>
      <c r="B29" s="224">
        <f>B13/B21</f>
        <v>1.7306629866757808</v>
      </c>
      <c r="C29" s="224">
        <f t="shared" ref="B29:G33" si="0">C13/C21</f>
        <v>1.4664821940141883</v>
      </c>
      <c r="D29" s="224">
        <f t="shared" si="0"/>
        <v>0.64906820683409538</v>
      </c>
      <c r="E29" s="224">
        <f t="shared" si="0"/>
        <v>0.51129341179540977</v>
      </c>
      <c r="F29" s="224">
        <f t="shared" si="0"/>
        <v>7.7688334447491604E-3</v>
      </c>
      <c r="G29" s="225">
        <f t="shared" si="0"/>
        <v>0.17604321972953821</v>
      </c>
      <c r="I29" s="230">
        <f t="shared" ref="I29:N33" si="1">I13/I21</f>
        <v>5.4993453972665722E-3</v>
      </c>
      <c r="J29" s="231">
        <f t="shared" si="1"/>
        <v>4.6356002823448542E-3</v>
      </c>
      <c r="K29" s="231">
        <f t="shared" si="1"/>
        <v>2.4711057551169203E-3</v>
      </c>
      <c r="L29" s="231">
        <f t="shared" si="1"/>
        <v>1.6319963020723961E-3</v>
      </c>
      <c r="M29" s="231">
        <f t="shared" si="1"/>
        <v>6.1582384904503501E-5</v>
      </c>
      <c r="N29" s="232">
        <f t="shared" si="1"/>
        <v>1.2885641426948902E-4</v>
      </c>
      <c r="P29" s="319"/>
      <c r="Q29" s="319"/>
      <c r="R29" s="319"/>
      <c r="S29" s="319"/>
      <c r="T29" s="319"/>
      <c r="U29" s="319"/>
      <c r="W29" s="319"/>
      <c r="X29" s="319"/>
      <c r="Y29" s="319"/>
      <c r="Z29" s="319"/>
      <c r="AA29" s="319"/>
      <c r="AB29" s="319"/>
    </row>
    <row r="30" spans="1:28" ht="15" customHeight="1" x14ac:dyDescent="0.25">
      <c r="A30" s="192" t="s">
        <v>12</v>
      </c>
      <c r="B30" s="226">
        <f t="shared" si="0"/>
        <v>5.699946443244797</v>
      </c>
      <c r="C30" s="226">
        <f t="shared" si="0"/>
        <v>7.1235402582448613</v>
      </c>
      <c r="D30" s="226">
        <f t="shared" si="0"/>
        <v>3.4357047267677725</v>
      </c>
      <c r="E30" s="226">
        <f t="shared" si="0"/>
        <v>2.6399106358057352</v>
      </c>
      <c r="F30" s="226">
        <f t="shared" si="0"/>
        <v>3.8809280056282064E-2</v>
      </c>
      <c r="G30" s="227">
        <f t="shared" si="0"/>
        <v>0.33421659720976221</v>
      </c>
      <c r="I30" s="233">
        <f t="shared" si="1"/>
        <v>5.6025401761432836E-3</v>
      </c>
      <c r="J30" s="234">
        <f t="shared" si="1"/>
        <v>4.5805610594819709E-3</v>
      </c>
      <c r="K30" s="234">
        <f t="shared" si="1"/>
        <v>2.6410735941350986E-3</v>
      </c>
      <c r="L30" s="234">
        <f t="shared" si="1"/>
        <v>1.6777474259112946E-3</v>
      </c>
      <c r="M30" s="234">
        <f t="shared" si="1"/>
        <v>5.8796426974906682E-5</v>
      </c>
      <c r="N30" s="235">
        <f t="shared" si="1"/>
        <v>1.2569575128877712E-4</v>
      </c>
      <c r="P30" s="319"/>
      <c r="Q30" s="319"/>
      <c r="R30" s="319"/>
      <c r="S30" s="319"/>
      <c r="T30" s="319"/>
      <c r="U30" s="319"/>
      <c r="W30" s="319"/>
      <c r="X30" s="319"/>
      <c r="Y30" s="319"/>
      <c r="Z30" s="319"/>
      <c r="AA30" s="319"/>
      <c r="AB30" s="319"/>
    </row>
    <row r="31" spans="1:28" ht="15" customHeight="1" x14ac:dyDescent="0.25">
      <c r="A31" s="192" t="s">
        <v>13</v>
      </c>
      <c r="B31" s="226">
        <f t="shared" si="0"/>
        <v>6.6102123350582103</v>
      </c>
      <c r="C31" s="226">
        <f>C15/C23</f>
        <v>6.9900672206306966</v>
      </c>
      <c r="D31" s="226">
        <f t="shared" si="0"/>
        <v>3.4938547591814784</v>
      </c>
      <c r="E31" s="226">
        <f t="shared" si="0"/>
        <v>2.6861788920040865</v>
      </c>
      <c r="F31" s="226">
        <f t="shared" si="0"/>
        <v>4.1895144075726864E-2</v>
      </c>
      <c r="G31" s="227">
        <f t="shared" si="0"/>
        <v>0.38329815231083669</v>
      </c>
      <c r="I31" s="233">
        <f t="shared" si="1"/>
        <v>4.5939388781446547E-3</v>
      </c>
      <c r="J31" s="234">
        <f t="shared" si="1"/>
        <v>3.7071030207151238E-3</v>
      </c>
      <c r="K31" s="234">
        <f t="shared" si="1"/>
        <v>2.2770797661822292E-3</v>
      </c>
      <c r="L31" s="234">
        <f t="shared" si="1"/>
        <v>1.2098517061384206E-3</v>
      </c>
      <c r="M31" s="234">
        <f t="shared" si="1"/>
        <v>5.1420235122477741E-5</v>
      </c>
      <c r="N31" s="235">
        <f t="shared" si="1"/>
        <v>9.8520353632854349E-5</v>
      </c>
      <c r="P31" s="319"/>
      <c r="Q31" s="319"/>
      <c r="R31" s="319"/>
      <c r="S31" s="319"/>
      <c r="T31" s="319"/>
      <c r="U31" s="319"/>
      <c r="W31" s="319"/>
      <c r="X31" s="319"/>
      <c r="Y31" s="319"/>
      <c r="Z31" s="319"/>
      <c r="AA31" s="319"/>
      <c r="AB31" s="319"/>
    </row>
    <row r="32" spans="1:28" ht="15" customHeight="1" x14ac:dyDescent="0.25">
      <c r="A32" s="192" t="s">
        <v>14</v>
      </c>
      <c r="B32" s="226">
        <f t="shared" si="0"/>
        <v>6.49524311498062</v>
      </c>
      <c r="C32" s="226">
        <f t="shared" si="0"/>
        <v>6.9923189957394181</v>
      </c>
      <c r="D32" s="226">
        <f t="shared" si="0"/>
        <v>3.4814219035154492</v>
      </c>
      <c r="E32" s="226">
        <f t="shared" si="0"/>
        <v>2.6559446163500664</v>
      </c>
      <c r="F32" s="226">
        <f t="shared" si="0"/>
        <v>4.6318617518692651E-2</v>
      </c>
      <c r="G32" s="227">
        <f t="shared" si="0"/>
        <v>0.56080941120050509</v>
      </c>
      <c r="I32" s="233">
        <f t="shared" si="1"/>
        <v>5.6374632481778425E-3</v>
      </c>
      <c r="J32" s="234">
        <f t="shared" si="1"/>
        <v>4.6470045164887577E-3</v>
      </c>
      <c r="K32" s="234">
        <f t="shared" si="1"/>
        <v>2.7541938603681017E-3</v>
      </c>
      <c r="L32" s="234">
        <f t="shared" si="1"/>
        <v>1.6278913238397645E-3</v>
      </c>
      <c r="M32" s="234">
        <f t="shared" si="1"/>
        <v>6.1700405249114331E-5</v>
      </c>
      <c r="N32" s="235">
        <f t="shared" si="1"/>
        <v>1.2818551509267433E-4</v>
      </c>
      <c r="P32" s="319"/>
      <c r="Q32" s="319"/>
      <c r="R32" s="319"/>
      <c r="S32" s="319"/>
      <c r="T32" s="319"/>
      <c r="U32" s="319"/>
      <c r="W32" s="319"/>
      <c r="X32" s="319"/>
      <c r="Y32" s="319"/>
      <c r="Z32" s="319"/>
      <c r="AA32" s="319"/>
      <c r="AB32" s="319"/>
    </row>
    <row r="33" spans="1:28" ht="15" customHeight="1" thickBot="1" x14ac:dyDescent="0.3">
      <c r="A33" s="195" t="s">
        <v>15</v>
      </c>
      <c r="B33" s="228">
        <f t="shared" si="0"/>
        <v>12.051156287572754</v>
      </c>
      <c r="C33" s="228">
        <f t="shared" si="0"/>
        <v>9.2365394095008799</v>
      </c>
      <c r="D33" s="228">
        <f t="shared" si="0"/>
        <v>4.4425750066108121</v>
      </c>
      <c r="E33" s="228">
        <f t="shared" si="0"/>
        <v>3.3697510449476056</v>
      </c>
      <c r="F33" s="228">
        <f t="shared" si="0"/>
        <v>8.0015674954820329E-2</v>
      </c>
      <c r="G33" s="229">
        <f t="shared" si="0"/>
        <v>1.0614184264225162</v>
      </c>
      <c r="I33" s="236">
        <f t="shared" si="1"/>
        <v>8.7753756896910302E-3</v>
      </c>
      <c r="J33" s="237">
        <f t="shared" si="1"/>
        <v>6.982850600188815E-3</v>
      </c>
      <c r="K33" s="237">
        <f t="shared" si="1"/>
        <v>4.0311796492987885E-3</v>
      </c>
      <c r="L33" s="237">
        <f t="shared" si="1"/>
        <v>2.9955592155410313E-3</v>
      </c>
      <c r="M33" s="237">
        <f t="shared" si="1"/>
        <v>6.5589371840534802E-5</v>
      </c>
      <c r="N33" s="238">
        <f t="shared" si="1"/>
        <v>1.8698883664619386E-4</v>
      </c>
      <c r="P33" s="319"/>
      <c r="Q33" s="319"/>
      <c r="R33" s="319"/>
      <c r="S33" s="319"/>
      <c r="T33" s="319"/>
      <c r="U33" s="319"/>
      <c r="W33" s="319"/>
      <c r="X33" s="319"/>
      <c r="Y33" s="319"/>
      <c r="Z33" s="319"/>
      <c r="AA33" s="319"/>
      <c r="AB33" s="319"/>
    </row>
    <row r="34" spans="1:28" x14ac:dyDescent="0.25">
      <c r="B34" s="316"/>
      <c r="C34" s="316"/>
      <c r="D34" s="316"/>
      <c r="E34" s="316"/>
      <c r="F34" s="316"/>
      <c r="G34" s="316"/>
    </row>
    <row r="35" spans="1:28" s="5" customFormat="1" ht="16.5" customHeight="1" x14ac:dyDescent="0.25">
      <c r="A35" s="5" t="s">
        <v>116</v>
      </c>
    </row>
    <row r="36" spans="1:28" ht="5.0999999999999996" customHeight="1" thickBot="1" x14ac:dyDescent="0.3">
      <c r="A36" s="213"/>
      <c r="B36" s="214"/>
      <c r="C36" s="48"/>
    </row>
    <row r="37" spans="1:28" ht="18" customHeight="1" x14ac:dyDescent="0.25">
      <c r="A37" s="599" t="s">
        <v>56</v>
      </c>
      <c r="B37" s="183" t="s">
        <v>98</v>
      </c>
      <c r="C37" s="183"/>
      <c r="D37" s="183"/>
      <c r="E37" s="183"/>
      <c r="F37" s="183"/>
      <c r="G37" s="184"/>
      <c r="I37" s="201" t="s">
        <v>99</v>
      </c>
      <c r="J37" s="183"/>
      <c r="K37" s="183"/>
      <c r="L37" s="183"/>
      <c r="M37" s="183"/>
      <c r="N37" s="184"/>
    </row>
    <row r="38" spans="1:28" ht="18" customHeight="1" x14ac:dyDescent="0.25">
      <c r="A38" s="600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28" ht="15" customHeight="1" x14ac:dyDescent="0.25">
      <c r="A39" s="189" t="s">
        <v>11</v>
      </c>
      <c r="B39" s="215">
        <f t="shared" ref="B39:G43" si="2">B29/$G29</f>
        <v>9.8308982835843555</v>
      </c>
      <c r="C39" s="215">
        <f t="shared" si="2"/>
        <v>8.3302395642797258</v>
      </c>
      <c r="D39" s="215">
        <f t="shared" si="2"/>
        <v>3.6869821389956581</v>
      </c>
      <c r="E39" s="215">
        <f t="shared" si="2"/>
        <v>2.9043629887077103</v>
      </c>
      <c r="F39" s="215">
        <f t="shared" si="2"/>
        <v>4.4130262197457588E-2</v>
      </c>
      <c r="G39" s="218">
        <f t="shared" si="2"/>
        <v>1</v>
      </c>
      <c r="I39" s="217">
        <f t="shared" ref="I39:N43" si="3">I29/$N29</f>
        <v>42.67808807534638</v>
      </c>
      <c r="J39" s="215">
        <f t="shared" si="3"/>
        <v>35.974928439728316</v>
      </c>
      <c r="K39" s="215">
        <f t="shared" si="3"/>
        <v>19.177204092835257</v>
      </c>
      <c r="L39" s="215">
        <f t="shared" si="3"/>
        <v>12.665231384285265</v>
      </c>
      <c r="M39" s="215">
        <f t="shared" si="3"/>
        <v>0.47791478021195527</v>
      </c>
      <c r="N39" s="218">
        <f t="shared" si="3"/>
        <v>1</v>
      </c>
    </row>
    <row r="40" spans="1:28" ht="15" customHeight="1" x14ac:dyDescent="0.25">
      <c r="A40" s="192" t="s">
        <v>12</v>
      </c>
      <c r="B40" s="216">
        <f t="shared" si="2"/>
        <v>17.054648066048546</v>
      </c>
      <c r="C40" s="216">
        <f t="shared" si="2"/>
        <v>21.314142737722747</v>
      </c>
      <c r="D40" s="216">
        <f t="shared" si="2"/>
        <v>10.279874654493725</v>
      </c>
      <c r="E40" s="216">
        <f t="shared" si="2"/>
        <v>7.8988017287150614</v>
      </c>
      <c r="F40" s="216">
        <f t="shared" si="2"/>
        <v>0.11612014597804203</v>
      </c>
      <c r="G40" s="220">
        <f t="shared" si="2"/>
        <v>1</v>
      </c>
      <c r="I40" s="219">
        <f t="shared" si="3"/>
        <v>44.572231906803623</v>
      </c>
      <c r="J40" s="216">
        <f t="shared" si="3"/>
        <v>36.441653854778714</v>
      </c>
      <c r="K40" s="216">
        <f t="shared" si="3"/>
        <v>21.011637760670354</v>
      </c>
      <c r="L40" s="216">
        <f t="shared" si="3"/>
        <v>13.347686049123396</v>
      </c>
      <c r="M40" s="216">
        <f t="shared" si="3"/>
        <v>0.46776781531641465</v>
      </c>
      <c r="N40" s="220">
        <f t="shared" si="3"/>
        <v>1</v>
      </c>
    </row>
    <row r="41" spans="1:28" ht="15" customHeight="1" x14ac:dyDescent="0.25">
      <c r="A41" s="192" t="s">
        <v>13</v>
      </c>
      <c r="B41" s="216">
        <f t="shared" si="2"/>
        <v>17.245614921977605</v>
      </c>
      <c r="C41" s="216">
        <f t="shared" si="2"/>
        <v>18.236631662555165</v>
      </c>
      <c r="D41" s="216">
        <f t="shared" si="2"/>
        <v>9.1152402851869923</v>
      </c>
      <c r="E41" s="216">
        <f t="shared" si="2"/>
        <v>7.0080663728995027</v>
      </c>
      <c r="F41" s="216">
        <f t="shared" si="2"/>
        <v>0.10930171153486773</v>
      </c>
      <c r="G41" s="220">
        <f t="shared" si="2"/>
        <v>1</v>
      </c>
      <c r="I41" s="219">
        <f t="shared" si="3"/>
        <v>46.629338088497057</v>
      </c>
      <c r="J41" s="216">
        <f t="shared" si="3"/>
        <v>37.627788411418038</v>
      </c>
      <c r="K41" s="216">
        <f t="shared" si="3"/>
        <v>23.11278514760501</v>
      </c>
      <c r="L41" s="216">
        <f t="shared" si="3"/>
        <v>12.280220903865716</v>
      </c>
      <c r="M41" s="216">
        <f t="shared" si="3"/>
        <v>0.52192499545931625</v>
      </c>
      <c r="N41" s="220">
        <f t="shared" si="3"/>
        <v>1</v>
      </c>
    </row>
    <row r="42" spans="1:28" ht="15" customHeight="1" x14ac:dyDescent="0.25">
      <c r="A42" s="192" t="s">
        <v>14</v>
      </c>
      <c r="B42" s="216">
        <f t="shared" si="2"/>
        <v>11.581908194223203</v>
      </c>
      <c r="C42" s="216">
        <f t="shared" si="2"/>
        <v>12.46826257920887</v>
      </c>
      <c r="D42" s="216">
        <f t="shared" si="2"/>
        <v>6.2078521401110072</v>
      </c>
      <c r="E42" s="216">
        <f t="shared" si="2"/>
        <v>4.7359130629861914</v>
      </c>
      <c r="F42" s="216">
        <f t="shared" si="2"/>
        <v>8.2592439772970302E-2</v>
      </c>
      <c r="G42" s="220">
        <f t="shared" si="2"/>
        <v>1</v>
      </c>
      <c r="I42" s="219">
        <f t="shared" si="3"/>
        <v>43.978941334378725</v>
      </c>
      <c r="J42" s="216">
        <f t="shared" si="3"/>
        <v>36.25218116983897</v>
      </c>
      <c r="K42" s="216">
        <f t="shared" si="3"/>
        <v>21.4859990879383</v>
      </c>
      <c r="L42" s="216">
        <f t="shared" si="3"/>
        <v>12.699495123632708</v>
      </c>
      <c r="M42" s="216">
        <f t="shared" si="3"/>
        <v>0.48133679694235942</v>
      </c>
      <c r="N42" s="220">
        <f t="shared" si="3"/>
        <v>1</v>
      </c>
    </row>
    <row r="43" spans="1:28" ht="15" customHeight="1" thickBot="1" x14ac:dyDescent="0.3">
      <c r="A43" s="195" t="s">
        <v>15</v>
      </c>
      <c r="B43" s="222">
        <f t="shared" si="2"/>
        <v>11.353822382932309</v>
      </c>
      <c r="C43" s="222">
        <f t="shared" si="2"/>
        <v>8.7020718498664102</v>
      </c>
      <c r="D43" s="222">
        <f t="shared" si="2"/>
        <v>4.1855077093247743</v>
      </c>
      <c r="E43" s="222">
        <f t="shared" si="2"/>
        <v>3.1747621494618912</v>
      </c>
      <c r="F43" s="222">
        <f t="shared" si="2"/>
        <v>7.5385609447643692E-2</v>
      </c>
      <c r="G43" s="223">
        <f t="shared" si="2"/>
        <v>1</v>
      </c>
      <c r="I43" s="221">
        <f t="shared" si="3"/>
        <v>46.929944306221515</v>
      </c>
      <c r="J43" s="222">
        <f t="shared" si="3"/>
        <v>37.343676368238157</v>
      </c>
      <c r="K43" s="222">
        <f t="shared" si="3"/>
        <v>21.558397397414062</v>
      </c>
      <c r="L43" s="222">
        <f t="shared" si="3"/>
        <v>16.019989584773995</v>
      </c>
      <c r="M43" s="222">
        <f t="shared" si="3"/>
        <v>0.35076624368030085</v>
      </c>
      <c r="N43" s="223">
        <f t="shared" si="3"/>
        <v>1</v>
      </c>
    </row>
    <row r="65" spans="1:14" s="5" customFormat="1" ht="16.5" customHeight="1" x14ac:dyDescent="0.25">
      <c r="A65" s="5" t="s">
        <v>117</v>
      </c>
    </row>
    <row r="66" spans="1:14" ht="5.0999999999999996" customHeight="1" thickBot="1" x14ac:dyDescent="0.3">
      <c r="A66" s="213"/>
      <c r="B66" s="214"/>
      <c r="C66" s="48"/>
    </row>
    <row r="67" spans="1:14" ht="18" customHeight="1" x14ac:dyDescent="0.25">
      <c r="A67" s="599" t="s">
        <v>56</v>
      </c>
      <c r="B67" s="183" t="s">
        <v>98</v>
      </c>
      <c r="C67" s="183"/>
      <c r="D67" s="183"/>
      <c r="E67" s="183"/>
      <c r="F67" s="183"/>
      <c r="G67" s="184"/>
      <c r="I67" s="201" t="s">
        <v>99</v>
      </c>
      <c r="J67" s="183"/>
      <c r="K67" s="183"/>
      <c r="L67" s="183"/>
      <c r="M67" s="183"/>
      <c r="N67" s="184"/>
    </row>
    <row r="68" spans="1:14" ht="18" customHeight="1" x14ac:dyDescent="0.25">
      <c r="A68" s="600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14" ht="18" customHeight="1" x14ac:dyDescent="0.25">
      <c r="A69" s="189" t="s">
        <v>11</v>
      </c>
      <c r="B69" s="215">
        <f t="shared" ref="B69:G73" si="4">B29/B$33</f>
        <v>0.14360970394686973</v>
      </c>
      <c r="C69" s="215">
        <f t="shared" si="4"/>
        <v>0.15876965701090789</v>
      </c>
      <c r="D69" s="215">
        <f t="shared" si="4"/>
        <v>0.14610180039014398</v>
      </c>
      <c r="E69" s="215">
        <f t="shared" si="4"/>
        <v>0.15173032220347887</v>
      </c>
      <c r="F69" s="215">
        <f t="shared" si="4"/>
        <v>9.7091394269131867E-2</v>
      </c>
      <c r="G69" s="218">
        <f t="shared" si="4"/>
        <v>0.16585657017740629</v>
      </c>
      <c r="I69" s="217">
        <f t="shared" ref="I69:N73" si="5">I29/I$33</f>
        <v>0.62667919776095615</v>
      </c>
      <c r="J69" s="215">
        <f t="shared" si="5"/>
        <v>0.66385499959278926</v>
      </c>
      <c r="K69" s="215">
        <f t="shared" si="5"/>
        <v>0.61299817177504401</v>
      </c>
      <c r="L69" s="215">
        <f t="shared" si="5"/>
        <v>0.54480522154446531</v>
      </c>
      <c r="M69" s="215">
        <f t="shared" si="5"/>
        <v>0.93890798427261435</v>
      </c>
      <c r="N69" s="218">
        <f t="shared" si="5"/>
        <v>0.68911287208712568</v>
      </c>
    </row>
    <row r="70" spans="1:14" ht="18" customHeight="1" x14ac:dyDescent="0.25">
      <c r="A70" s="192" t="s">
        <v>12</v>
      </c>
      <c r="B70" s="216">
        <f t="shared" si="4"/>
        <v>0.47297921520797354</v>
      </c>
      <c r="C70" s="216">
        <f t="shared" si="4"/>
        <v>0.77123476038195127</v>
      </c>
      <c r="D70" s="216">
        <f t="shared" si="4"/>
        <v>0.77335885644142022</v>
      </c>
      <c r="E70" s="216">
        <f t="shared" si="4"/>
        <v>0.78341414561287914</v>
      </c>
      <c r="F70" s="216">
        <f t="shared" si="4"/>
        <v>0.48502096718168225</v>
      </c>
      <c r="G70" s="220">
        <f t="shared" si="4"/>
        <v>0.31487732725371159</v>
      </c>
      <c r="I70" s="219">
        <f t="shared" si="5"/>
        <v>0.63843878305118373</v>
      </c>
      <c r="J70" s="216">
        <f t="shared" si="5"/>
        <v>0.65597294310694743</v>
      </c>
      <c r="K70" s="216">
        <f t="shared" si="5"/>
        <v>0.65516147229868693</v>
      </c>
      <c r="L70" s="216">
        <f t="shared" si="5"/>
        <v>0.56007820416538645</v>
      </c>
      <c r="M70" s="216">
        <f t="shared" si="5"/>
        <v>0.89643223170144737</v>
      </c>
      <c r="N70" s="220">
        <f t="shared" si="5"/>
        <v>0.67220992195704765</v>
      </c>
    </row>
    <row r="71" spans="1:14" ht="18" customHeight="1" x14ac:dyDescent="0.25">
      <c r="A71" s="192" t="s">
        <v>13</v>
      </c>
      <c r="B71" s="216">
        <f t="shared" si="4"/>
        <v>0.54851270511483718</v>
      </c>
      <c r="C71" s="216">
        <f t="shared" si="4"/>
        <v>0.75678421438234544</v>
      </c>
      <c r="D71" s="216">
        <f t="shared" si="4"/>
        <v>0.7864481193862608</v>
      </c>
      <c r="E71" s="216">
        <f t="shared" si="4"/>
        <v>0.79714461281392746</v>
      </c>
      <c r="F71" s="216">
        <f t="shared" si="4"/>
        <v>0.52358671097109832</v>
      </c>
      <c r="G71" s="220">
        <f t="shared" si="4"/>
        <v>0.36111880363970444</v>
      </c>
      <c r="I71" s="219">
        <f t="shared" si="5"/>
        <v>0.5235033849936972</v>
      </c>
      <c r="J71" s="216">
        <f t="shared" si="5"/>
        <v>0.53088677289112907</v>
      </c>
      <c r="K71" s="216">
        <f t="shared" si="5"/>
        <v>0.56486685394393676</v>
      </c>
      <c r="L71" s="216">
        <f t="shared" si="5"/>
        <v>0.40388175264961601</v>
      </c>
      <c r="M71" s="216">
        <f t="shared" si="5"/>
        <v>0.783972062539248</v>
      </c>
      <c r="N71" s="220">
        <f t="shared" si="5"/>
        <v>0.52687826396431947</v>
      </c>
    </row>
    <row r="72" spans="1:14" ht="18" customHeight="1" x14ac:dyDescent="0.25">
      <c r="A72" s="192" t="s">
        <v>14</v>
      </c>
      <c r="B72" s="216">
        <f t="shared" si="4"/>
        <v>0.53897260644429323</v>
      </c>
      <c r="C72" s="216">
        <f t="shared" si="4"/>
        <v>0.75702800429206052</v>
      </c>
      <c r="D72" s="216">
        <f t="shared" si="4"/>
        <v>0.78364954971719991</v>
      </c>
      <c r="E72" s="216">
        <f t="shared" si="4"/>
        <v>0.78817235484865389</v>
      </c>
      <c r="F72" s="216">
        <f t="shared" si="4"/>
        <v>0.57886929710767021</v>
      </c>
      <c r="G72" s="220">
        <f t="shared" si="4"/>
        <v>0.52835846565307798</v>
      </c>
      <c r="I72" s="219">
        <f t="shared" si="5"/>
        <v>0.64241844993605401</v>
      </c>
      <c r="J72" s="216">
        <f t="shared" si="5"/>
        <v>0.66548817704378549</v>
      </c>
      <c r="K72" s="216">
        <f t="shared" si="5"/>
        <v>0.68322280324251616</v>
      </c>
      <c r="L72" s="216">
        <f t="shared" si="5"/>
        <v>0.54343486698384269</v>
      </c>
      <c r="M72" s="216">
        <f t="shared" si="5"/>
        <v>0.94070736641790709</v>
      </c>
      <c r="N72" s="220">
        <f t="shared" si="5"/>
        <v>0.68552496176666033</v>
      </c>
    </row>
    <row r="73" spans="1:14" ht="18" customHeight="1" thickBot="1" x14ac:dyDescent="0.3">
      <c r="A73" s="195" t="s">
        <v>15</v>
      </c>
      <c r="B73" s="222">
        <f t="shared" si="4"/>
        <v>1</v>
      </c>
      <c r="C73" s="222">
        <f t="shared" si="4"/>
        <v>1</v>
      </c>
      <c r="D73" s="222">
        <f t="shared" si="4"/>
        <v>1</v>
      </c>
      <c r="E73" s="222">
        <f t="shared" si="4"/>
        <v>1</v>
      </c>
      <c r="F73" s="222">
        <f t="shared" si="4"/>
        <v>1</v>
      </c>
      <c r="G73" s="223">
        <f t="shared" si="4"/>
        <v>1</v>
      </c>
      <c r="I73" s="221">
        <f t="shared" si="5"/>
        <v>1</v>
      </c>
      <c r="J73" s="222">
        <f t="shared" si="5"/>
        <v>1</v>
      </c>
      <c r="K73" s="222">
        <f t="shared" si="5"/>
        <v>1</v>
      </c>
      <c r="L73" s="222">
        <f t="shared" si="5"/>
        <v>1</v>
      </c>
      <c r="M73" s="222">
        <f t="shared" si="5"/>
        <v>1</v>
      </c>
      <c r="N73" s="223">
        <f t="shared" si="5"/>
        <v>1</v>
      </c>
    </row>
    <row r="75" spans="1:14" s="5" customFormat="1" ht="16.5" customHeight="1" x14ac:dyDescent="0.25">
      <c r="A75" s="5" t="s">
        <v>124</v>
      </c>
    </row>
    <row r="76" spans="1:14" ht="5.0999999999999996" customHeight="1" thickBot="1" x14ac:dyDescent="0.3"/>
    <row r="77" spans="1:14" ht="18" customHeight="1" x14ac:dyDescent="0.25">
      <c r="A77" s="599" t="s">
        <v>100</v>
      </c>
      <c r="B77" s="183" t="s">
        <v>125</v>
      </c>
      <c r="C77" s="183"/>
      <c r="D77" s="183"/>
      <c r="E77" s="183"/>
      <c r="F77" s="183"/>
      <c r="G77" s="184"/>
      <c r="I77" s="201" t="s">
        <v>126</v>
      </c>
      <c r="J77" s="183"/>
      <c r="K77" s="183"/>
      <c r="L77" s="183"/>
      <c r="M77" s="183"/>
      <c r="N77" s="184"/>
    </row>
    <row r="78" spans="1:14" ht="18" customHeight="1" x14ac:dyDescent="0.25">
      <c r="A78" s="600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14" ht="18" customHeight="1" x14ac:dyDescent="0.25">
      <c r="A79" s="245" t="s">
        <v>101</v>
      </c>
      <c r="B79" s="531">
        <f>SUM(B80:F80)</f>
        <v>4.4499788296710454</v>
      </c>
      <c r="C79" s="246">
        <f>G80</f>
        <v>9.2472030351570741E-2</v>
      </c>
      <c r="D79" s="246"/>
      <c r="E79" s="246"/>
      <c r="F79" s="246"/>
      <c r="G79" s="247"/>
      <c r="I79" s="257">
        <f>I29</f>
        <v>5.4993453972665722E-3</v>
      </c>
      <c r="J79" s="255">
        <f t="shared" ref="J79:L79" si="6">J29</f>
        <v>4.6356002823448542E-3</v>
      </c>
      <c r="K79" s="255">
        <f t="shared" si="6"/>
        <v>2.4711057551169203E-3</v>
      </c>
      <c r="L79" s="254">
        <f t="shared" si="6"/>
        <v>1.6319963020723961E-3</v>
      </c>
      <c r="M79" s="549">
        <f>SUM(M13:N13)/SUM(M21:N21)</f>
        <v>1.2180314562931949E-4</v>
      </c>
      <c r="N79" s="256">
        <f>M79</f>
        <v>1.2180314562931949E-4</v>
      </c>
    </row>
    <row r="80" spans="1:14" ht="18" customHeight="1" x14ac:dyDescent="0.25">
      <c r="A80" s="248" t="s">
        <v>102</v>
      </c>
      <c r="B80" s="249">
        <f t="shared" ref="B80:E84" si="7">B29</f>
        <v>1.7306629866757808</v>
      </c>
      <c r="C80" s="249">
        <f t="shared" si="7"/>
        <v>1.4664821940141883</v>
      </c>
      <c r="D80" s="249">
        <f t="shared" si="7"/>
        <v>0.64906820683409538</v>
      </c>
      <c r="E80" s="551">
        <f t="shared" si="7"/>
        <v>0.51129341179540977</v>
      </c>
      <c r="F80" s="551">
        <f>SUM(F13:G13)/SUM(F21:G21)</f>
        <v>9.2472030351570741E-2</v>
      </c>
      <c r="G80" s="250">
        <f>F80</f>
        <v>9.2472030351570741E-2</v>
      </c>
      <c r="I80" s="257">
        <f t="shared" ref="I80:L84" si="8">I29</f>
        <v>5.4993453972665722E-3</v>
      </c>
      <c r="J80" s="255">
        <f t="shared" si="8"/>
        <v>4.6356002823448542E-3</v>
      </c>
      <c r="K80" s="255">
        <f t="shared" si="8"/>
        <v>2.4711057551169203E-3</v>
      </c>
      <c r="L80" s="255">
        <f t="shared" si="8"/>
        <v>1.6319963020723961E-3</v>
      </c>
      <c r="M80" s="549">
        <f>SUM(M13:N13)/SUM(M21:N21)</f>
        <v>1.2180314562931949E-4</v>
      </c>
      <c r="N80" s="258">
        <f>M80</f>
        <v>1.2180314562931949E-4</v>
      </c>
    </row>
    <row r="81" spans="1:17" ht="18" customHeight="1" x14ac:dyDescent="0.25">
      <c r="A81" s="248" t="s">
        <v>103</v>
      </c>
      <c r="B81" s="551">
        <f>SUM(B14:C14)/SUM(B22:C22)</f>
        <v>6.430586718674312</v>
      </c>
      <c r="C81" s="551">
        <f>B81</f>
        <v>6.430586718674312</v>
      </c>
      <c r="D81" s="249">
        <f t="shared" si="7"/>
        <v>3.4357047267677725</v>
      </c>
      <c r="E81" s="551">
        <f t="shared" si="7"/>
        <v>2.6399106358057352</v>
      </c>
      <c r="F81" s="551">
        <f>SUM(F14:G14)/SUM(F22:G22)</f>
        <v>0.20965624392597818</v>
      </c>
      <c r="G81" s="250">
        <f t="shared" ref="G81:G84" si="9">F81</f>
        <v>0.20965624392597818</v>
      </c>
      <c r="I81" s="257">
        <f t="shared" si="8"/>
        <v>5.6025401761432836E-3</v>
      </c>
      <c r="J81" s="255">
        <f t="shared" si="8"/>
        <v>4.5805610594819709E-3</v>
      </c>
      <c r="K81" s="255">
        <f t="shared" si="8"/>
        <v>2.6410735941350986E-3</v>
      </c>
      <c r="L81" s="255">
        <f t="shared" si="8"/>
        <v>1.6777474259112946E-3</v>
      </c>
      <c r="M81" s="549">
        <f t="shared" ref="M81:M84" si="10">SUM(M14:N14)/SUM(M22:N22)</f>
        <v>1.1751664818181839E-4</v>
      </c>
      <c r="N81" s="258">
        <f t="shared" ref="N81:N83" si="11">M81</f>
        <v>1.1751664818181839E-4</v>
      </c>
    </row>
    <row r="82" spans="1:17" ht="18" customHeight="1" x14ac:dyDescent="0.25">
      <c r="A82" s="248" t="s">
        <v>104</v>
      </c>
      <c r="B82" s="551">
        <f>SUM(B15:C15)/SUM(B23:C23)</f>
        <v>6.8035676652797363</v>
      </c>
      <c r="C82" s="551">
        <f>B82</f>
        <v>6.8035676652797363</v>
      </c>
      <c r="D82" s="249">
        <f t="shared" si="7"/>
        <v>3.4938547591814784</v>
      </c>
      <c r="E82" s="551">
        <f t="shared" si="7"/>
        <v>2.6861788920040865</v>
      </c>
      <c r="F82" s="551">
        <f>SUM(F15:G15)/SUM(F23:G23)</f>
        <v>0.23707265257749199</v>
      </c>
      <c r="G82" s="250">
        <f t="shared" si="9"/>
        <v>0.23707265257749199</v>
      </c>
      <c r="I82" s="257">
        <f t="shared" si="8"/>
        <v>4.5939388781446547E-3</v>
      </c>
      <c r="J82" s="255">
        <f t="shared" si="8"/>
        <v>3.7071030207151238E-3</v>
      </c>
      <c r="K82" s="255">
        <f t="shared" si="8"/>
        <v>2.2770797661822292E-3</v>
      </c>
      <c r="L82" s="255">
        <f t="shared" si="8"/>
        <v>1.2098517061384206E-3</v>
      </c>
      <c r="M82" s="549">
        <f t="shared" si="10"/>
        <v>9.3290825481978044E-5</v>
      </c>
      <c r="N82" s="258">
        <f t="shared" si="11"/>
        <v>9.3290825481978044E-5</v>
      </c>
    </row>
    <row r="83" spans="1:17" ht="18" customHeight="1" x14ac:dyDescent="0.25">
      <c r="A83" s="248" t="s">
        <v>105</v>
      </c>
      <c r="B83" s="551">
        <f>SUM(B16:C16)/SUM(B24:C24)</f>
        <v>6.7498256045705185</v>
      </c>
      <c r="C83" s="551">
        <f>B83</f>
        <v>6.7498256045705185</v>
      </c>
      <c r="D83" s="249">
        <f t="shared" si="7"/>
        <v>3.4814219035154492</v>
      </c>
      <c r="E83" s="551">
        <f t="shared" si="7"/>
        <v>2.6559446163500664</v>
      </c>
      <c r="F83" s="551">
        <f>SUM(F16:G16)/SUM(F24:G24)</f>
        <v>0.33227925284434606</v>
      </c>
      <c r="G83" s="250">
        <f t="shared" si="9"/>
        <v>0.33227925284434606</v>
      </c>
      <c r="I83" s="257">
        <f t="shared" si="8"/>
        <v>5.6374632481778425E-3</v>
      </c>
      <c r="J83" s="255">
        <f t="shared" si="8"/>
        <v>4.6470045164887577E-3</v>
      </c>
      <c r="K83" s="255">
        <f t="shared" si="8"/>
        <v>2.7541938603681017E-3</v>
      </c>
      <c r="L83" s="255">
        <f t="shared" si="8"/>
        <v>1.6278913238397645E-3</v>
      </c>
      <c r="M83" s="549">
        <f t="shared" si="10"/>
        <v>1.2167130450659426E-4</v>
      </c>
      <c r="N83" s="258">
        <f t="shared" si="11"/>
        <v>1.2167130450659426E-4</v>
      </c>
      <c r="P83" s="239"/>
      <c r="Q83" s="334"/>
    </row>
    <row r="84" spans="1:17" ht="18" customHeight="1" thickBot="1" x14ac:dyDescent="0.3">
      <c r="A84" s="251" t="s">
        <v>106</v>
      </c>
      <c r="B84" s="529">
        <f t="shared" si="7"/>
        <v>12.051156287572754</v>
      </c>
      <c r="C84" s="529">
        <f t="shared" si="7"/>
        <v>9.2365394095008799</v>
      </c>
      <c r="D84" s="252">
        <f>D33</f>
        <v>4.4425750066108121</v>
      </c>
      <c r="E84" s="529">
        <f>E33</f>
        <v>3.3697510449476056</v>
      </c>
      <c r="F84" s="529">
        <f>SUM(F17:G17)/SUM(F25:G25)</f>
        <v>0.62845214748325706</v>
      </c>
      <c r="G84" s="253">
        <f t="shared" si="9"/>
        <v>0.62845214748325706</v>
      </c>
      <c r="I84" s="259">
        <f t="shared" si="8"/>
        <v>8.7753756896910302E-3</v>
      </c>
      <c r="J84" s="260">
        <f t="shared" si="8"/>
        <v>6.982850600188815E-3</v>
      </c>
      <c r="K84" s="260">
        <f t="shared" si="8"/>
        <v>4.0311796492987885E-3</v>
      </c>
      <c r="L84" s="260">
        <f t="shared" si="8"/>
        <v>2.9955592155410313E-3</v>
      </c>
      <c r="M84" s="553">
        <f t="shared" si="10"/>
        <v>1.7474245925915827E-4</v>
      </c>
      <c r="N84" s="554">
        <f>M84</f>
        <v>1.7474245925915827E-4</v>
      </c>
      <c r="P84" s="239"/>
      <c r="Q84" s="334"/>
    </row>
    <row r="85" spans="1:17" x14ac:dyDescent="0.25">
      <c r="P85" s="239"/>
      <c r="Q85" s="334"/>
    </row>
    <row r="86" spans="1:17" s="5" customFormat="1" ht="16.5" customHeight="1" x14ac:dyDescent="0.25">
      <c r="A86" s="5" t="s">
        <v>203</v>
      </c>
    </row>
    <row r="87" spans="1:17" ht="5.0999999999999996" customHeight="1" thickBot="1" x14ac:dyDescent="0.3"/>
    <row r="88" spans="1:17" ht="22.5" customHeight="1" x14ac:dyDescent="0.25">
      <c r="A88" s="599" t="s">
        <v>100</v>
      </c>
      <c r="B88" s="183" t="s">
        <v>128</v>
      </c>
      <c r="C88" s="183"/>
      <c r="D88" s="183"/>
      <c r="E88" s="601" t="s">
        <v>127</v>
      </c>
    </row>
    <row r="89" spans="1:17" ht="30" customHeight="1" x14ac:dyDescent="0.25">
      <c r="A89" s="600"/>
      <c r="B89" s="262" t="s">
        <v>98</v>
      </c>
      <c r="C89" s="262" t="s">
        <v>99</v>
      </c>
      <c r="D89" s="262" t="s">
        <v>4</v>
      </c>
      <c r="E89" s="602"/>
    </row>
    <row r="90" spans="1:17" ht="18" customHeight="1" x14ac:dyDescent="0.25">
      <c r="A90" s="245" t="s">
        <v>101</v>
      </c>
      <c r="B90" s="263">
        <f>'I. Datos de entrada'!C115*B79+'I. Datos de entrada'!H115*C79</f>
        <v>562799.38465610531</v>
      </c>
      <c r="C90" s="265">
        <f>SUMPRODUCT(I79:N79,'I. Datos de entrada'!C102:H102)*1000</f>
        <v>137199.70963258349</v>
      </c>
      <c r="D90" s="264">
        <f>SUM(B90:C90)</f>
        <v>699999.09428868885</v>
      </c>
      <c r="E90" s="267">
        <f>B90/D90</f>
        <v>0.80400016121163642</v>
      </c>
    </row>
    <row r="91" spans="1:17" ht="18" customHeight="1" x14ac:dyDescent="0.25">
      <c r="A91" s="248" t="s">
        <v>102</v>
      </c>
      <c r="B91" s="265">
        <f>SUMPRODUCT(B80:G80,'I. Datos de entrada'!C116:H116)</f>
        <v>91168.895780620573</v>
      </c>
      <c r="C91" s="265">
        <f>SUMPRODUCT(I80:N80,'I. Datos de entrada'!C103:H103)*1000</f>
        <v>65133.629158373122</v>
      </c>
      <c r="D91" s="266">
        <f t="shared" ref="D91:D95" si="12">SUM(B91:C91)</f>
        <v>156302.52493899368</v>
      </c>
      <c r="E91" s="268">
        <f t="shared" ref="E91:E95" si="13">B91/D91</f>
        <v>0.58328485618645398</v>
      </c>
      <c r="F91" s="312"/>
      <c r="G91" s="261"/>
    </row>
    <row r="92" spans="1:17" ht="18" customHeight="1" x14ac:dyDescent="0.25">
      <c r="A92" s="248" t="s">
        <v>103</v>
      </c>
      <c r="B92" s="265">
        <f>SUMPRODUCT(B81:G81,'I. Datos de entrada'!C117:H117)</f>
        <v>344261.36912732263</v>
      </c>
      <c r="C92" s="265">
        <f>SUMPRODUCT(I81:N81,'I. Datos de entrada'!C104:H104)*1000</f>
        <v>117034.11470697325</v>
      </c>
      <c r="D92" s="266">
        <f t="shared" si="12"/>
        <v>461295.48383429588</v>
      </c>
      <c r="E92" s="268">
        <f t="shared" si="13"/>
        <v>0.7462925200693844</v>
      </c>
      <c r="F92" s="261"/>
      <c r="G92" s="261"/>
      <c r="I92" s="261"/>
    </row>
    <row r="93" spans="1:17" ht="18" customHeight="1" x14ac:dyDescent="0.25">
      <c r="A93" s="248" t="s">
        <v>104</v>
      </c>
      <c r="B93" s="265">
        <f>SUMPRODUCT(B82:G82,'I. Datos de entrada'!C118:H118)</f>
        <v>83495.656634417202</v>
      </c>
      <c r="C93" s="265">
        <f>SUMPRODUCT(I82:N82,'I. Datos de entrada'!C105:H105)*1000</f>
        <v>29818.622447544632</v>
      </c>
      <c r="D93" s="266">
        <f t="shared" si="12"/>
        <v>113314.27908196184</v>
      </c>
      <c r="E93" s="268">
        <f t="shared" si="13"/>
        <v>0.73685026557000466</v>
      </c>
      <c r="F93" s="261"/>
      <c r="G93" s="261"/>
      <c r="I93" s="261"/>
    </row>
    <row r="94" spans="1:17" ht="18" customHeight="1" x14ac:dyDescent="0.25">
      <c r="A94" s="248" t="s">
        <v>105</v>
      </c>
      <c r="B94" s="265">
        <f>SUMPRODUCT(B83:G83,'I. Datos de entrada'!C119:H119)</f>
        <v>38169.191807487034</v>
      </c>
      <c r="C94" s="265">
        <f>SUMPRODUCT(I83:N83,'I. Datos de entrada'!C106:H106)*1000</f>
        <v>14917.188247742717</v>
      </c>
      <c r="D94" s="266">
        <f t="shared" si="12"/>
        <v>53086.380055229747</v>
      </c>
      <c r="E94" s="268">
        <f t="shared" si="13"/>
        <v>0.71900159264535946</v>
      </c>
      <c r="F94" s="261"/>
      <c r="G94" s="261"/>
      <c r="I94" s="261"/>
    </row>
    <row r="95" spans="1:17" ht="18" customHeight="1" thickBot="1" x14ac:dyDescent="0.3">
      <c r="A95" s="251" t="s">
        <v>106</v>
      </c>
      <c r="B95" s="269">
        <f>SUMPRODUCT(B84:G84,'I. Datos de entrada'!C120:H120)</f>
        <v>103279.4644482744</v>
      </c>
      <c r="C95" s="269">
        <f>SUMPRODUCT(I84:N84,'I. Datos de entrada'!C107:H107)*1000</f>
        <v>43621.389958191801</v>
      </c>
      <c r="D95" s="270">
        <f t="shared" si="12"/>
        <v>146900.85440646621</v>
      </c>
      <c r="E95" s="271">
        <f t="shared" si="13"/>
        <v>0.70305557354013792</v>
      </c>
      <c r="F95" s="261"/>
      <c r="G95" s="261"/>
    </row>
    <row r="96" spans="1:17" ht="7.5" customHeight="1" thickBot="1" x14ac:dyDescent="0.3"/>
    <row r="97" spans="1:5" ht="15.75" customHeight="1" thickBot="1" x14ac:dyDescent="0.3">
      <c r="A97" s="421" t="s">
        <v>1</v>
      </c>
      <c r="B97" s="415">
        <f>SUM(B90:B95)</f>
        <v>1223173.962454227</v>
      </c>
      <c r="C97" s="415">
        <f>SUM(C90:C95)</f>
        <v>407724.65415140899</v>
      </c>
      <c r="D97" s="416">
        <f>SUM(B97:C97)</f>
        <v>1630898.616605636</v>
      </c>
      <c r="E97" s="422">
        <f>B97/D97</f>
        <v>0.75</v>
      </c>
    </row>
    <row r="98" spans="1:5" x14ac:dyDescent="0.25">
      <c r="C98" s="239"/>
      <c r="D98" s="89">
        <f>D97-'I. Datos de entrada'!C14</f>
        <v>0</v>
      </c>
    </row>
    <row r="100" spans="1:5" x14ac:dyDescent="0.25">
      <c r="B100" s="313"/>
      <c r="C100" s="312"/>
    </row>
    <row r="101" spans="1:5" x14ac:dyDescent="0.25">
      <c r="B101" s="313"/>
      <c r="C101" s="261"/>
    </row>
    <row r="103" spans="1:5" x14ac:dyDescent="0.25">
      <c r="B103" s="313"/>
    </row>
    <row r="104" spans="1:5" x14ac:dyDescent="0.25">
      <c r="B104" s="313"/>
    </row>
    <row r="105" spans="1:5" x14ac:dyDescent="0.25">
      <c r="B105" s="313"/>
    </row>
    <row r="106" spans="1:5" x14ac:dyDescent="0.25">
      <c r="B106" s="314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topLeftCell="A67" zoomScaleNormal="100" workbookViewId="0">
      <selection activeCell="G88" sqref="G88"/>
    </sheetView>
  </sheetViews>
  <sheetFormatPr baseColWidth="10" defaultRowHeight="13.2" x14ac:dyDescent="0.25"/>
  <cols>
    <col min="2" max="2" width="14.109375" customWidth="1"/>
    <col min="3" max="3" width="18.5546875" customWidth="1"/>
    <col min="4" max="4" width="14.33203125" customWidth="1"/>
    <col min="5" max="5" width="13.33203125" customWidth="1"/>
    <col min="6" max="6" width="13.6640625" bestFit="1" customWidth="1"/>
    <col min="7" max="7" width="12.6640625" customWidth="1"/>
    <col min="8" max="8" width="2.33203125" customWidth="1"/>
    <col min="9" max="12" width="12.88671875" bestFit="1" customWidth="1"/>
    <col min="13" max="13" width="11.88671875" bestFit="1" customWidth="1"/>
    <col min="14" max="14" width="12.88671875" bestFit="1" customWidth="1"/>
    <col min="15" max="15" width="4.441406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402" customFormat="1" ht="30" customHeight="1" x14ac:dyDescent="0.25">
      <c r="A6" s="402" t="s">
        <v>196</v>
      </c>
    </row>
    <row r="7" spans="1:14" s="5" customFormat="1" ht="16.5" customHeight="1" x14ac:dyDescent="0.25">
      <c r="A7" s="5" t="s">
        <v>204</v>
      </c>
    </row>
    <row r="8" spans="1:14" ht="5.0999999999999996" customHeight="1" thickBot="1" x14ac:dyDescent="0.3"/>
    <row r="9" spans="1:14" ht="25.5" customHeight="1" thickBot="1" x14ac:dyDescent="0.3">
      <c r="B9" s="198" t="s">
        <v>98</v>
      </c>
      <c r="C9" s="199"/>
      <c r="D9" s="199"/>
      <c r="E9" s="199"/>
      <c r="F9" s="199"/>
      <c r="G9" s="200"/>
      <c r="I9" s="198" t="s">
        <v>99</v>
      </c>
      <c r="J9" s="199"/>
      <c r="K9" s="199"/>
      <c r="L9" s="199"/>
      <c r="M9" s="199"/>
      <c r="N9" s="200"/>
    </row>
    <row r="10" spans="1:14" ht="13.8" thickBot="1" x14ac:dyDescent="0.3"/>
    <row r="11" spans="1:14" ht="24.9" customHeight="1" x14ac:dyDescent="0.25">
      <c r="A11" s="599" t="s">
        <v>56</v>
      </c>
      <c r="B11" s="183" t="s">
        <v>107</v>
      </c>
      <c r="C11" s="183"/>
      <c r="D11" s="183"/>
      <c r="E11" s="183"/>
      <c r="F11" s="183"/>
      <c r="G11" s="184"/>
      <c r="I11" s="201" t="s">
        <v>129</v>
      </c>
      <c r="J11" s="183"/>
      <c r="K11" s="183"/>
      <c r="L11" s="183"/>
      <c r="M11" s="183"/>
      <c r="N11" s="184"/>
    </row>
    <row r="12" spans="1:14" ht="24.9" customHeight="1" x14ac:dyDescent="0.25">
      <c r="A12" s="600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5">
      <c r="A13" s="189" t="s">
        <v>11</v>
      </c>
      <c r="B13" s="190">
        <f>'IV. Metodología de asignación'!J65+'IV. Metodología de asignación'!J67+'IV. Metodología de asignación'!J70+'IV. Metodología de asignación'!J74</f>
        <v>1277323.0824393951</v>
      </c>
      <c r="C13" s="190">
        <f>'IV. Metodología de asignación'!K65+'IV. Metodología de asignación'!K67+'IV. Metodología de asignación'!K70+'IV. Metodología de asignación'!K74</f>
        <v>1130134.6978009436</v>
      </c>
      <c r="D13" s="190">
        <f>'IV. Metodología de asignación'!L65+'IV. Metodología de asignación'!L67+'IV. Metodología de asignación'!L70+'IV. Metodología de asignación'!L74</f>
        <v>448162.7906299489</v>
      </c>
      <c r="E13" s="190">
        <f>'IV. Metodología de asignación'!M65+'IV. Metodología de asignación'!M67+'IV. Metodología de asignación'!M70+'IV. Metodología de asignación'!M74</f>
        <v>338213.75500075641</v>
      </c>
      <c r="F13" s="190">
        <f>'IV. Metodología de asignación'!N65+'IV. Metodología de asignación'!N67+'IV. Metodología de asignación'!N70+'IV. Metodología de asignación'!N74</f>
        <v>2828.1215376199716</v>
      </c>
      <c r="G13" s="191">
        <f>'IV. Metodología de asignación'!O65+'IV. Metodología de asignación'!O67+'IV. Metodología de asignación'!O70+'IV. Metodología de asignación'!O74</f>
        <v>303515.84657894343</v>
      </c>
      <c r="I13" s="203">
        <f>'IV. Metodología de asignación'!J85+'IV. Metodología de asignación'!J87+'IV. Metodología de asignación'!J90+'IV. Metodología de asignación'!J94</f>
        <v>172755.84474711359</v>
      </c>
      <c r="J13" s="190">
        <f>'IV. Metodología de asignación'!K85+'IV. Metodología de asignación'!K87+'IV. Metodología de asignación'!K90+'IV. Metodología de asignación'!K94</f>
        <v>164862.9935456418</v>
      </c>
      <c r="K13" s="190">
        <f>'IV. Metodología de asignación'!L85+'IV. Metodología de asignación'!L87+'IV. Metodología de asignación'!L90+'IV. Metodología de asignación'!L94</f>
        <v>73379.719545628002</v>
      </c>
      <c r="L13" s="190">
        <f>'IV. Metodología de asignación'!M85+'IV. Metodología de asignación'!M87+'IV. Metodología de asignación'!M90+'IV. Metodología de asignación'!M94</f>
        <v>56779.711716690639</v>
      </c>
      <c r="M13" s="190">
        <f>'IV. Metodología de asignación'!N85+'IV. Metodología de asignación'!N87+'IV. Metodología de asignación'!N90+'IV. Metodología de asignación'!N94</f>
        <v>572.11948089223733</v>
      </c>
      <c r="N13" s="191">
        <f>'IV. Metodología de asignación'!O85+'IV. Metodología de asignación'!O87+'IV. Metodología de asignación'!O90+'IV. Metodología de asignación'!O94</f>
        <v>11448.646846481819</v>
      </c>
    </row>
    <row r="14" spans="1:14" ht="15" customHeight="1" x14ac:dyDescent="0.25">
      <c r="A14" s="192" t="s">
        <v>12</v>
      </c>
      <c r="B14" s="193">
        <f>'IV. Metodología de asignación'!J66+'IV. Metodología de asignación'!J69+'IV. Metodología de asignación'!J73</f>
        <v>226292.34476086262</v>
      </c>
      <c r="C14" s="193">
        <f>'IV. Metodología de asignación'!K66+'IV. Metodología de asignación'!K69+'IV. Metodología de asignación'!K73</f>
        <v>291484.96637111582</v>
      </c>
      <c r="D14" s="193">
        <f>'IV. Metodología de asignación'!L66+'IV. Metodología de asignación'!L69+'IV. Metodología de asignación'!L73</f>
        <v>146679.37567738903</v>
      </c>
      <c r="E14" s="193">
        <f>'IV. Metodología de asignación'!M66+'IV. Metodología de asignación'!M69+'IV. Metodología de asignación'!M73</f>
        <v>110632.1096805149</v>
      </c>
      <c r="F14" s="193">
        <f>'IV. Metodología de asignación'!N66+'IV. Metodología de asignación'!N69+'IV. Metodología de asignación'!N73</f>
        <v>1167.2766330201343</v>
      </c>
      <c r="G14" s="194">
        <f>'IV. Metodología de asignación'!O66+'IV. Metodología de asignación'!O69+'IV. Metodología de asignación'!O73</f>
        <v>14199.370214392708</v>
      </c>
      <c r="I14" s="204">
        <f>'IV. Metodología de asignación'!J86+'IV. Metodología de asignación'!J89+'IV. Metodología de asignación'!J93</f>
        <v>93605.830958246501</v>
      </c>
      <c r="J14" s="193">
        <f>'IV. Metodología de asignación'!K86+'IV. Metodología de asignación'!K89+'IV. Metodología de asignación'!K93</f>
        <v>91641.535821257436</v>
      </c>
      <c r="K14" s="193">
        <f>'IV. Metodología de asignación'!L86+'IV. Metodología de asignación'!L89+'IV. Metodología de asignación'!L93</f>
        <v>48197.89239222496</v>
      </c>
      <c r="L14" s="193">
        <f>'IV. Metodología de asignación'!M86+'IV. Metodología de asignación'!M89+'IV. Metodología de asignación'!M93</f>
        <v>36845.709216150986</v>
      </c>
      <c r="M14" s="193">
        <f>'IV. Metodología de asignación'!N86+'IV. Metodología de asignación'!N89+'IV. Metodología de asignación'!N93</f>
        <v>407.74892673131234</v>
      </c>
      <c r="N14" s="194">
        <f>'IV. Metodología de asignación'!O86+'IV. Metodología de asignación'!O89+'IV. Metodología de asignación'!O93</f>
        <v>7010.0709716787715</v>
      </c>
    </row>
    <row r="15" spans="1:14" ht="15" customHeight="1" x14ac:dyDescent="0.25">
      <c r="A15" s="192" t="s">
        <v>13</v>
      </c>
      <c r="B15" s="193">
        <f>'IV. Metodología de asignación'!J68+'IV. Metodología de asignación'!J72</f>
        <v>32939.743838095666</v>
      </c>
      <c r="C15" s="193">
        <f>'IV. Metodología de asignación'!K68+'IV. Metodología de asignación'!K72</f>
        <v>35551.440422422631</v>
      </c>
      <c r="D15" s="193">
        <f>'IV. Metodología de asignación'!L68+'IV. Metodología de asignación'!L72</f>
        <v>16403.262575127235</v>
      </c>
      <c r="E15" s="193">
        <f>'IV. Metodología de asignación'!M68+'IV. Metodología de asignación'!M72</f>
        <v>17159.504678007637</v>
      </c>
      <c r="F15" s="193">
        <f>'IV. Metodología de asignación'!N68+'IV. Metodología de asignación'!N72</f>
        <v>215.85916885937289</v>
      </c>
      <c r="G15" s="194">
        <f>'IV. Metodología de asignación'!O68+'IV. Metodología de asignación'!O72</f>
        <v>2118.3293227369481</v>
      </c>
      <c r="I15" s="204">
        <f>'IV. Metodología de asignación'!J88+'IV. Metodología de asignación'!J92</f>
        <v>12269.605633053074</v>
      </c>
      <c r="J15" s="193">
        <f>'IV. Metodología de asignación'!K88+'IV. Metodología de asignación'!K92</f>
        <v>12829.959002003929</v>
      </c>
      <c r="K15" s="193">
        <f>'IV. Metodología de asignación'!L88+'IV. Metodología de asignación'!L92</f>
        <v>6134.9664440868019</v>
      </c>
      <c r="L15" s="193">
        <f>'IV. Metodología de asignación'!M88+'IV. Metodología de asignación'!M92</f>
        <v>5536.2558342093434</v>
      </c>
      <c r="M15" s="193">
        <f>'IV. Metodología de asignación'!N88+'IV. Metodología de asignación'!N92</f>
        <v>84.405117574323555</v>
      </c>
      <c r="N15" s="194">
        <f>'IV. Metodología de asignación'!O88+'IV. Metodología de asignación'!O92</f>
        <v>1082.3904971704783</v>
      </c>
    </row>
    <row r="16" spans="1:14" ht="15" customHeight="1" x14ac:dyDescent="0.25">
      <c r="A16" s="192" t="s">
        <v>14</v>
      </c>
      <c r="B16" s="193">
        <f>'IV. Metodología de asignación'!J71</f>
        <v>8059.5415548735273</v>
      </c>
      <c r="C16" s="193">
        <f>'IV. Metodología de asignación'!K71</f>
        <v>9519.5740460985562</v>
      </c>
      <c r="D16" s="193">
        <f>'IV. Metodología de asignación'!L71</f>
        <v>5416.2604418381252</v>
      </c>
      <c r="E16" s="193">
        <f>'IV. Metodología de asignación'!M71</f>
        <v>2058.4356062470606</v>
      </c>
      <c r="F16" s="193">
        <f>'IV. Metodología de asignación'!N71</f>
        <v>234.10451651484419</v>
      </c>
      <c r="G16" s="194">
        <f>'IV. Metodología de asignación'!O71</f>
        <v>1504.0069275633589</v>
      </c>
      <c r="I16" s="204">
        <f>'IV. Metodología de asignación'!J91</f>
        <v>3299.6037782064</v>
      </c>
      <c r="J16" s="193">
        <f>'IV. Metodología de asignación'!K91</f>
        <v>3641.7402149869872</v>
      </c>
      <c r="K16" s="193">
        <f>'IV. Metodología de asignación'!L91</f>
        <v>2085.5363048410809</v>
      </c>
      <c r="L16" s="193">
        <f>'IV. Metodología de asignación'!M91</f>
        <v>793.63853813109665</v>
      </c>
      <c r="M16" s="193">
        <f>'IV. Metodología de asignación'!N91</f>
        <v>83.787849326783004</v>
      </c>
      <c r="N16" s="194">
        <f>'IV. Metodología de asignación'!O91</f>
        <v>802.67255438358711</v>
      </c>
    </row>
    <row r="17" spans="1:28" ht="15" customHeight="1" thickBot="1" x14ac:dyDescent="0.3">
      <c r="A17" s="274" t="s">
        <v>15</v>
      </c>
      <c r="B17" s="272"/>
      <c r="C17" s="272"/>
      <c r="D17" s="272"/>
      <c r="E17" s="272"/>
      <c r="F17" s="272"/>
      <c r="G17" s="273"/>
      <c r="I17" s="275"/>
      <c r="J17" s="272"/>
      <c r="K17" s="272"/>
      <c r="L17" s="272"/>
      <c r="M17" s="272"/>
      <c r="N17" s="273"/>
    </row>
    <row r="18" spans="1:28" ht="13.8" thickBot="1" x14ac:dyDescent="0.3">
      <c r="G18" s="239"/>
      <c r="N18" s="239">
        <f>SUM(I13:N16)-SUM('IV. Metodología de asignación'!E23:H23)</f>
        <v>0</v>
      </c>
    </row>
    <row r="19" spans="1:28" ht="24" customHeight="1" x14ac:dyDescent="0.25">
      <c r="A19" s="599" t="s">
        <v>56</v>
      </c>
      <c r="B19" s="183" t="s">
        <v>108</v>
      </c>
      <c r="C19" s="183"/>
      <c r="D19" s="183"/>
      <c r="E19" s="183"/>
      <c r="F19" s="183"/>
      <c r="G19" s="184"/>
      <c r="I19" s="201" t="s">
        <v>115</v>
      </c>
      <c r="J19" s="183"/>
      <c r="K19" s="183"/>
      <c r="L19" s="183"/>
      <c r="M19" s="183"/>
      <c r="N19" s="184"/>
    </row>
    <row r="20" spans="1:28" ht="24" customHeight="1" x14ac:dyDescent="0.25">
      <c r="A20" s="600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28" ht="15" customHeight="1" x14ac:dyDescent="0.25">
      <c r="A21" s="189" t="s">
        <v>11</v>
      </c>
      <c r="B21" s="190">
        <f>'I. Datos de entrada'!C115+'I. Datos de entrada'!C116</f>
        <v>143258.48294943862</v>
      </c>
      <c r="C21" s="190">
        <f>'I. Datos de entrada'!D115+'I. Datos de entrada'!D116</f>
        <v>144214.6969142188</v>
      </c>
      <c r="D21" s="190">
        <f>'I. Datos de entrada'!E115+'I. Datos de entrada'!E116</f>
        <v>144463.93706549393</v>
      </c>
      <c r="E21" s="190">
        <f>'I. Datos de entrada'!F115+'I. Datos de entrada'!F116</f>
        <v>144485.11514191373</v>
      </c>
      <c r="F21" s="190">
        <f>'I. Datos de entrada'!G115+'I. Datos de entrada'!G116</f>
        <v>144506.40005040384</v>
      </c>
      <c r="G21" s="191">
        <f>'I. Datos de entrada'!H115+'I. Datos de entrada'!H116</f>
        <v>146463.80108827617</v>
      </c>
      <c r="I21" s="203">
        <f>('I. Datos de entrada'!C102+'I. Datos de entrada'!C103)*1000</f>
        <v>13299340.090855259</v>
      </c>
      <c r="J21" s="190">
        <f>('I. Datos de entrada'!D102+'I. Datos de entrada'!D103)*1000</f>
        <v>14949695.224299019</v>
      </c>
      <c r="K21" s="190">
        <f>('I. Datos de entrada'!E102+'I. Datos de entrada'!E103)*1000</f>
        <v>12124734.262163289</v>
      </c>
      <c r="L21" s="190">
        <f>('I. Datos de entrada'!F102+'I. Datos de entrada'!F103)*1000</f>
        <v>14223350.4505085</v>
      </c>
      <c r="M21" s="190">
        <f>('I. Datos de entrada'!G102+'I. Datos de entrada'!G103)*1000</f>
        <v>5785119.6863571592</v>
      </c>
      <c r="N21" s="191">
        <f>('I. Datos de entrada'!H102+'I. Datos de entrada'!H103)*1000</f>
        <v>49393313.394080982</v>
      </c>
    </row>
    <row r="22" spans="1:28" ht="15" customHeight="1" x14ac:dyDescent="0.25">
      <c r="A22" s="192" t="s">
        <v>12</v>
      </c>
      <c r="B22" s="193">
        <f>'I. Datos de entrada'!C117</f>
        <v>17012.610567571079</v>
      </c>
      <c r="C22" s="193">
        <f>'I. Datos de entrada'!D117</f>
        <v>17937.852627996705</v>
      </c>
      <c r="D22" s="193">
        <f>'I. Datos de entrada'!E117</f>
        <v>18119.653703613763</v>
      </c>
      <c r="E22" s="193">
        <f>'I. Datos de entrada'!F117</f>
        <v>18207.638036484248</v>
      </c>
      <c r="F22" s="193">
        <f>'I. Datos de entrada'!G117</f>
        <v>18480.86199657304</v>
      </c>
      <c r="G22" s="194">
        <f>'I. Datos de entrada'!H117</f>
        <v>25348.347837581165</v>
      </c>
      <c r="I22" s="204">
        <f>'I. Datos de entrada'!C104*1000</f>
        <v>7072757.7099391241</v>
      </c>
      <c r="J22" s="193">
        <f>'I. Datos de entrada'!D104*1000</f>
        <v>8409134.7266939711</v>
      </c>
      <c r="K22" s="193">
        <f>'I. Datos de entrada'!E104*1000</f>
        <v>7450615.1074706772</v>
      </c>
      <c r="L22" s="193">
        <f>'I. Datos de entrada'!F104*1000</f>
        <v>8977440.4744101148</v>
      </c>
      <c r="M22" s="193">
        <f>'I. Datos de entrada'!G104*1000</f>
        <v>4318179.2163320277</v>
      </c>
      <c r="N22" s="194">
        <f>'I. Datos de entrada'!H104*1000</f>
        <v>31001496.799615294</v>
      </c>
    </row>
    <row r="23" spans="1:28" ht="15" customHeight="1" x14ac:dyDescent="0.25">
      <c r="A23" s="192" t="s">
        <v>13</v>
      </c>
      <c r="B23" s="193">
        <f>'I. Datos de entrada'!C118</f>
        <v>3970.6963427662131</v>
      </c>
      <c r="C23" s="193">
        <f>'I. Datos de entrada'!D118</f>
        <v>4116.6602307452276</v>
      </c>
      <c r="D23" s="193">
        <f>'I. Datos de entrada'!E118</f>
        <v>4194.9984366623758</v>
      </c>
      <c r="E23" s="193">
        <f>'I. Datos de entrada'!F118</f>
        <v>4215.1374806962212</v>
      </c>
      <c r="F23" s="193">
        <f>'I. Datos de entrada'!G118</f>
        <v>4504.7950865510784</v>
      </c>
      <c r="G23" s="194">
        <f>'I. Datos de entrada'!H118</f>
        <v>6012.8683636396909</v>
      </c>
      <c r="I23" s="204">
        <f>'I. Datos de entrada'!C105*1000</f>
        <v>2126100.9989760602</v>
      </c>
      <c r="J23" s="193">
        <f>'I. Datos de entrada'!D105*1000</f>
        <v>2715569.8203525455</v>
      </c>
      <c r="K23" s="193">
        <f>'I. Datos de entrada'!E105*1000</f>
        <v>2316677.9178714985</v>
      </c>
      <c r="L23" s="193">
        <f>'I. Datos de entrada'!F105*1000</f>
        <v>2863720.6580177299</v>
      </c>
      <c r="M23" s="193">
        <f>'I. Datos de entrada'!G105*1000</f>
        <v>1481271.6546680091</v>
      </c>
      <c r="N23" s="194">
        <f>'I. Datos de entrada'!H105*1000</f>
        <v>11859907.218082454</v>
      </c>
    </row>
    <row r="24" spans="1:28" ht="15" customHeight="1" x14ac:dyDescent="0.25">
      <c r="A24" s="192" t="s">
        <v>14</v>
      </c>
      <c r="B24" s="193">
        <f>'I. Datos de entrada'!C119</f>
        <v>1787.216878125703</v>
      </c>
      <c r="C24" s="193">
        <f>'I. Datos de entrada'!D119</f>
        <v>1876.3155567956067</v>
      </c>
      <c r="D24" s="193">
        <f>'I. Datos de entrada'!E119</f>
        <v>1907.8461135755629</v>
      </c>
      <c r="E24" s="193">
        <f>'I. Datos de entrada'!F119</f>
        <v>1981.6688126554102</v>
      </c>
      <c r="F24" s="193">
        <f>'I. Datos de entrada'!G119</f>
        <v>2052.9954840015498</v>
      </c>
      <c r="G24" s="194">
        <f>'I. Datos de entrada'!H119</f>
        <v>2568.9208686883067</v>
      </c>
      <c r="I24" s="204">
        <f>'I. Datos de entrada'!C106*1000</f>
        <v>822962.16215613717</v>
      </c>
      <c r="J24" s="193">
        <f>'I. Datos de entrada'!D106*1000</f>
        <v>1062104.4972929859</v>
      </c>
      <c r="K24" s="193">
        <f>'I. Datos de entrada'!E106*1000</f>
        <v>955246.77742184547</v>
      </c>
      <c r="L24" s="193">
        <f>'I. Datos de entrada'!F106*1000</f>
        <v>1199642.537537799</v>
      </c>
      <c r="M24" s="193">
        <f>'I. Datos de entrada'!G106*1000</f>
        <v>610681.25451277907</v>
      </c>
      <c r="N24" s="194">
        <f>'I. Datos de entrada'!H106*1000</f>
        <v>5622032.5561896451</v>
      </c>
    </row>
    <row r="25" spans="1:28" ht="15" customHeight="1" thickBot="1" x14ac:dyDescent="0.3">
      <c r="A25" s="274" t="s">
        <v>15</v>
      </c>
      <c r="B25" s="272"/>
      <c r="C25" s="272"/>
      <c r="D25" s="272"/>
      <c r="E25" s="272"/>
      <c r="F25" s="272"/>
      <c r="G25" s="273"/>
      <c r="I25" s="275"/>
      <c r="J25" s="272"/>
      <c r="K25" s="272"/>
      <c r="L25" s="272"/>
      <c r="M25" s="272"/>
      <c r="N25" s="273"/>
    </row>
    <row r="26" spans="1:28" ht="13.8" thickBot="1" x14ac:dyDescent="0.3">
      <c r="A26" s="187"/>
      <c r="B26" s="315"/>
      <c r="C26" s="315"/>
      <c r="D26" s="315"/>
      <c r="E26" s="315"/>
      <c r="F26" s="315"/>
      <c r="G26" s="315"/>
      <c r="I26" s="188"/>
      <c r="J26" s="188"/>
      <c r="K26" s="188"/>
      <c r="L26" s="188"/>
      <c r="M26" s="188"/>
      <c r="N26" s="188"/>
    </row>
    <row r="27" spans="1:28" ht="24" customHeight="1" x14ac:dyDescent="0.25">
      <c r="A27" s="599" t="s">
        <v>56</v>
      </c>
      <c r="B27" s="183" t="s">
        <v>109</v>
      </c>
      <c r="C27" s="183"/>
      <c r="D27" s="183"/>
      <c r="E27" s="183"/>
      <c r="F27" s="183"/>
      <c r="G27" s="184"/>
      <c r="I27" s="201" t="s">
        <v>114</v>
      </c>
      <c r="J27" s="183"/>
      <c r="K27" s="183"/>
      <c r="L27" s="183"/>
      <c r="M27" s="183"/>
      <c r="N27" s="184"/>
    </row>
    <row r="28" spans="1:28" ht="24" customHeight="1" x14ac:dyDescent="0.25">
      <c r="A28" s="600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28" ht="15" customHeight="1" x14ac:dyDescent="0.25">
      <c r="A29" s="189" t="s">
        <v>11</v>
      </c>
      <c r="B29" s="224">
        <f t="shared" ref="B29:G32" si="0">B13/B21</f>
        <v>8.9162125421236738</v>
      </c>
      <c r="C29" s="224">
        <f t="shared" si="0"/>
        <v>7.8364738267498888</v>
      </c>
      <c r="D29" s="224">
        <f t="shared" si="0"/>
        <v>3.1022468287484823</v>
      </c>
      <c r="E29" s="224">
        <f t="shared" si="0"/>
        <v>2.3408207459194799</v>
      </c>
      <c r="F29" s="224">
        <f t="shared" si="0"/>
        <v>1.9570908531618827E-2</v>
      </c>
      <c r="G29" s="225">
        <f t="shared" si="0"/>
        <v>2.0722925687010498</v>
      </c>
      <c r="I29" s="230">
        <f t="shared" ref="I29:N32" si="1">I13/I21</f>
        <v>1.2989805777348457E-2</v>
      </c>
      <c r="J29" s="231">
        <f t="shared" si="1"/>
        <v>1.1027849803765623E-2</v>
      </c>
      <c r="K29" s="231">
        <f t="shared" si="1"/>
        <v>6.0520682729202869E-3</v>
      </c>
      <c r="L29" s="231">
        <f t="shared" si="1"/>
        <v>3.9920067999632746E-3</v>
      </c>
      <c r="M29" s="231">
        <f t="shared" si="1"/>
        <v>9.889501201529957E-5</v>
      </c>
      <c r="N29" s="232">
        <f t="shared" si="1"/>
        <v>2.3178535837714749E-4</v>
      </c>
      <c r="P29" s="319"/>
      <c r="Q29" s="319"/>
      <c r="R29" s="319"/>
      <c r="S29" s="319"/>
      <c r="T29" s="319"/>
      <c r="U29" s="319"/>
      <c r="W29" s="319"/>
      <c r="X29" s="319"/>
      <c r="Y29" s="319"/>
      <c r="Z29" s="319"/>
      <c r="AA29" s="319"/>
      <c r="AB29" s="319"/>
    </row>
    <row r="30" spans="1:28" ht="15" customHeight="1" x14ac:dyDescent="0.25">
      <c r="A30" s="192" t="s">
        <v>12</v>
      </c>
      <c r="B30" s="226">
        <f t="shared" si="0"/>
        <v>13.301447409383144</v>
      </c>
      <c r="C30" s="226">
        <f t="shared" si="0"/>
        <v>16.2497135201221</v>
      </c>
      <c r="D30" s="226">
        <f t="shared" si="0"/>
        <v>8.0950429890464992</v>
      </c>
      <c r="E30" s="226">
        <f t="shared" si="0"/>
        <v>6.0761373583345408</v>
      </c>
      <c r="F30" s="226">
        <f t="shared" si="0"/>
        <v>6.316137381668592E-2</v>
      </c>
      <c r="G30" s="227">
        <f t="shared" si="0"/>
        <v>0.56016945583099842</v>
      </c>
      <c r="I30" s="233">
        <f t="shared" si="1"/>
        <v>1.3234700635468563E-2</v>
      </c>
      <c r="J30" s="234">
        <f t="shared" si="1"/>
        <v>1.089785558201968E-2</v>
      </c>
      <c r="K30" s="234">
        <f t="shared" si="1"/>
        <v>6.4689816474209341E-3</v>
      </c>
      <c r="L30" s="234">
        <f t="shared" si="1"/>
        <v>4.1042554747289508E-3</v>
      </c>
      <c r="M30" s="234">
        <f t="shared" si="1"/>
        <v>9.4426124137956635E-5</v>
      </c>
      <c r="N30" s="235">
        <f t="shared" si="1"/>
        <v>2.2612040370146777E-4</v>
      </c>
      <c r="P30" s="319"/>
      <c r="Q30" s="319"/>
      <c r="R30" s="319"/>
      <c r="S30" s="319"/>
      <c r="T30" s="319"/>
      <c r="U30" s="319"/>
      <c r="W30" s="319"/>
      <c r="X30" s="319"/>
      <c r="Y30" s="319"/>
      <c r="Z30" s="319"/>
      <c r="AA30" s="319"/>
      <c r="AB30" s="319"/>
    </row>
    <row r="31" spans="1:28" ht="15" customHeight="1" x14ac:dyDescent="0.25">
      <c r="A31" s="192" t="s">
        <v>13</v>
      </c>
      <c r="B31" s="226">
        <f t="shared" si="0"/>
        <v>8.2957096173080735</v>
      </c>
      <c r="C31" s="226">
        <f t="shared" si="0"/>
        <v>8.6359909318984176</v>
      </c>
      <c r="D31" s="226">
        <f t="shared" si="0"/>
        <v>3.910195158064945</v>
      </c>
      <c r="E31" s="226">
        <f t="shared" si="0"/>
        <v>4.0709240817391734</v>
      </c>
      <c r="F31" s="226">
        <f t="shared" si="0"/>
        <v>4.79176443571903E-2</v>
      </c>
      <c r="G31" s="227">
        <f t="shared" si="0"/>
        <v>0.3522993012031761</v>
      </c>
      <c r="I31" s="233">
        <f t="shared" si="1"/>
        <v>5.7709420384836705E-3</v>
      </c>
      <c r="J31" s="234">
        <f t="shared" si="1"/>
        <v>4.7245918355132898E-3</v>
      </c>
      <c r="K31" s="234">
        <f t="shared" si="1"/>
        <v>2.6481740930666118E-3</v>
      </c>
      <c r="L31" s="234">
        <f t="shared" si="1"/>
        <v>1.9332387810623768E-3</v>
      </c>
      <c r="M31" s="234">
        <f t="shared" si="1"/>
        <v>5.6981524832621538E-5</v>
      </c>
      <c r="N31" s="235">
        <f t="shared" si="1"/>
        <v>9.126466820247878E-5</v>
      </c>
      <c r="P31" s="319"/>
      <c r="Q31" s="319"/>
      <c r="R31" s="319"/>
      <c r="S31" s="319"/>
      <c r="T31" s="319"/>
      <c r="U31" s="319"/>
      <c r="W31" s="319"/>
      <c r="X31" s="319"/>
      <c r="Y31" s="319"/>
      <c r="Z31" s="319"/>
      <c r="AA31" s="319"/>
      <c r="AB31" s="319"/>
    </row>
    <row r="32" spans="1:28" ht="15" customHeight="1" x14ac:dyDescent="0.25">
      <c r="A32" s="192" t="s">
        <v>14</v>
      </c>
      <c r="B32" s="226">
        <f t="shared" si="0"/>
        <v>4.5095487030794832</v>
      </c>
      <c r="C32" s="226">
        <f t="shared" si="0"/>
        <v>5.0735464040793836</v>
      </c>
      <c r="D32" s="226">
        <f t="shared" si="0"/>
        <v>2.8389398931590542</v>
      </c>
      <c r="E32" s="226">
        <f t="shared" si="0"/>
        <v>1.0387384577591368</v>
      </c>
      <c r="F32" s="226">
        <f t="shared" si="0"/>
        <v>0.11403070213215699</v>
      </c>
      <c r="G32" s="227">
        <f t="shared" si="0"/>
        <v>0.58546253638840429</v>
      </c>
      <c r="I32" s="233">
        <f t="shared" si="1"/>
        <v>4.0094234339541606E-3</v>
      </c>
      <c r="J32" s="234">
        <f t="shared" si="1"/>
        <v>3.4287965301613801E-3</v>
      </c>
      <c r="K32" s="234">
        <f t="shared" si="1"/>
        <v>2.1832434865363482E-3</v>
      </c>
      <c r="L32" s="234">
        <f t="shared" si="1"/>
        <v>6.6156251824814132E-4</v>
      </c>
      <c r="M32" s="234">
        <f t="shared" si="1"/>
        <v>1.3720389926432508E-4</v>
      </c>
      <c r="N32" s="235">
        <f t="shared" si="1"/>
        <v>1.4277266208639704E-4</v>
      </c>
      <c r="P32" s="319"/>
      <c r="Q32" s="319"/>
      <c r="R32" s="319"/>
      <c r="S32" s="319"/>
      <c r="T32" s="319"/>
      <c r="U32" s="319"/>
      <c r="W32" s="319"/>
      <c r="X32" s="319"/>
      <c r="Y32" s="319"/>
      <c r="Z32" s="319"/>
      <c r="AA32" s="319"/>
      <c r="AB32" s="319"/>
    </row>
    <row r="33" spans="1:28" ht="15" customHeight="1" thickBot="1" x14ac:dyDescent="0.3">
      <c r="A33" s="274" t="s">
        <v>15</v>
      </c>
      <c r="B33" s="279"/>
      <c r="C33" s="279"/>
      <c r="D33" s="279"/>
      <c r="E33" s="279"/>
      <c r="F33" s="279"/>
      <c r="G33" s="280"/>
      <c r="I33" s="276"/>
      <c r="J33" s="277"/>
      <c r="K33" s="277"/>
      <c r="L33" s="277"/>
      <c r="M33" s="277"/>
      <c r="N33" s="278"/>
      <c r="P33" s="319"/>
      <c r="Q33" s="319"/>
      <c r="R33" s="319"/>
      <c r="S33" s="319"/>
      <c r="T33" s="319"/>
      <c r="U33" s="319"/>
      <c r="W33" s="319"/>
      <c r="X33" s="319"/>
      <c r="Y33" s="319"/>
      <c r="Z33" s="319"/>
      <c r="AA33" s="319"/>
      <c r="AB33" s="319"/>
    </row>
    <row r="35" spans="1:28" s="5" customFormat="1" ht="16.5" customHeight="1" x14ac:dyDescent="0.25">
      <c r="A35" s="5" t="s">
        <v>116</v>
      </c>
    </row>
    <row r="36" spans="1:28" ht="5.0999999999999996" customHeight="1" thickBot="1" x14ac:dyDescent="0.3">
      <c r="A36" s="213"/>
      <c r="B36" s="214"/>
      <c r="C36" s="48"/>
    </row>
    <row r="37" spans="1:28" ht="18" customHeight="1" x14ac:dyDescent="0.25">
      <c r="A37" s="599" t="s">
        <v>56</v>
      </c>
      <c r="B37" s="183" t="s">
        <v>98</v>
      </c>
      <c r="C37" s="183"/>
      <c r="D37" s="183"/>
      <c r="E37" s="183"/>
      <c r="F37" s="183"/>
      <c r="G37" s="184"/>
      <c r="I37" s="201" t="s">
        <v>99</v>
      </c>
      <c r="J37" s="183"/>
      <c r="K37" s="183"/>
      <c r="L37" s="183"/>
      <c r="M37" s="183"/>
      <c r="N37" s="184"/>
    </row>
    <row r="38" spans="1:28" ht="18" customHeight="1" x14ac:dyDescent="0.25">
      <c r="A38" s="600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28" ht="15" customHeight="1" x14ac:dyDescent="0.25">
      <c r="A39" s="189" t="s">
        <v>11</v>
      </c>
      <c r="B39" s="215">
        <f t="shared" ref="B39:G42" si="2">B29/$G29</f>
        <v>4.3025838517157426</v>
      </c>
      <c r="C39" s="215">
        <f t="shared" si="2"/>
        <v>3.7815480039393914</v>
      </c>
      <c r="D39" s="215">
        <f t="shared" si="2"/>
        <v>1.4970119931921708</v>
      </c>
      <c r="E39" s="215">
        <f t="shared" si="2"/>
        <v>1.1295802442541925</v>
      </c>
      <c r="F39" s="215">
        <f t="shared" si="2"/>
        <v>9.4440856601084189E-3</v>
      </c>
      <c r="G39" s="218">
        <f t="shared" si="2"/>
        <v>1</v>
      </c>
      <c r="I39" s="217">
        <f t="shared" ref="I39:N42" si="3">I29/$N29</f>
        <v>56.042391410298698</v>
      </c>
      <c r="J39" s="215">
        <f t="shared" si="3"/>
        <v>47.577853411352045</v>
      </c>
      <c r="K39" s="215">
        <f t="shared" si="3"/>
        <v>26.110658219716871</v>
      </c>
      <c r="L39" s="215">
        <f t="shared" si="3"/>
        <v>17.222860097434268</v>
      </c>
      <c r="M39" s="215">
        <f t="shared" si="3"/>
        <v>0.42666634643238954</v>
      </c>
      <c r="N39" s="218">
        <f t="shared" si="3"/>
        <v>1</v>
      </c>
    </row>
    <row r="40" spans="1:28" ht="15" customHeight="1" x14ac:dyDescent="0.25">
      <c r="A40" s="192" t="s">
        <v>12</v>
      </c>
      <c r="B40" s="216">
        <f t="shared" si="2"/>
        <v>23.74539930894796</v>
      </c>
      <c r="C40" s="216">
        <f t="shared" si="2"/>
        <v>29.008567587848976</v>
      </c>
      <c r="D40" s="216">
        <f t="shared" si="2"/>
        <v>14.451061022307421</v>
      </c>
      <c r="E40" s="216">
        <f t="shared" si="2"/>
        <v>10.846962995011451</v>
      </c>
      <c r="F40" s="216">
        <f t="shared" si="2"/>
        <v>0.11275404818884222</v>
      </c>
      <c r="G40" s="220">
        <f t="shared" si="2"/>
        <v>1</v>
      </c>
      <c r="I40" s="219">
        <f t="shared" si="3"/>
        <v>58.529440151457926</v>
      </c>
      <c r="J40" s="216">
        <f t="shared" si="3"/>
        <v>48.194923605423149</v>
      </c>
      <c r="K40" s="216">
        <f t="shared" si="3"/>
        <v>28.608571104275555</v>
      </c>
      <c r="L40" s="216">
        <f t="shared" si="3"/>
        <v>18.150752464370864</v>
      </c>
      <c r="M40" s="216">
        <f t="shared" si="3"/>
        <v>0.41759223224553133</v>
      </c>
      <c r="N40" s="220">
        <f t="shared" si="3"/>
        <v>1</v>
      </c>
    </row>
    <row r="41" spans="1:28" ht="15" customHeight="1" x14ac:dyDescent="0.25">
      <c r="A41" s="192" t="s">
        <v>13</v>
      </c>
      <c r="B41" s="216">
        <f t="shared" si="2"/>
        <v>23.54733486264799</v>
      </c>
      <c r="C41" s="216">
        <f t="shared" si="2"/>
        <v>24.513221861084297</v>
      </c>
      <c r="D41" s="216">
        <f t="shared" si="2"/>
        <v>11.099071569857809</v>
      </c>
      <c r="E41" s="216">
        <f t="shared" si="2"/>
        <v>11.55529990504129</v>
      </c>
      <c r="F41" s="216">
        <f t="shared" si="2"/>
        <v>0.13601402044665284</v>
      </c>
      <c r="G41" s="220">
        <f t="shared" si="2"/>
        <v>1</v>
      </c>
      <c r="I41" s="219">
        <f t="shared" si="3"/>
        <v>63.233035874083519</v>
      </c>
      <c r="J41" s="216">
        <f t="shared" si="3"/>
        <v>51.768027305280533</v>
      </c>
      <c r="K41" s="216">
        <f t="shared" si="3"/>
        <v>29.016421636370847</v>
      </c>
      <c r="L41" s="216">
        <f t="shared" si="3"/>
        <v>21.182773346343787</v>
      </c>
      <c r="M41" s="216">
        <f t="shared" si="3"/>
        <v>0.62435470324839137</v>
      </c>
      <c r="N41" s="220">
        <f t="shared" si="3"/>
        <v>1</v>
      </c>
    </row>
    <row r="42" spans="1:28" ht="15" customHeight="1" x14ac:dyDescent="0.25">
      <c r="A42" s="192" t="s">
        <v>14</v>
      </c>
      <c r="B42" s="216">
        <f t="shared" si="2"/>
        <v>7.702540167468177</v>
      </c>
      <c r="C42" s="216">
        <f t="shared" si="2"/>
        <v>8.6658771291789716</v>
      </c>
      <c r="D42" s="216">
        <f t="shared" si="2"/>
        <v>4.8490547502353945</v>
      </c>
      <c r="E42" s="216">
        <f t="shared" si="2"/>
        <v>1.7742184908481022</v>
      </c>
      <c r="F42" s="216">
        <f t="shared" si="2"/>
        <v>0.19477027998339314</v>
      </c>
      <c r="G42" s="220">
        <f t="shared" si="2"/>
        <v>1</v>
      </c>
      <c r="I42" s="219">
        <f t="shared" si="3"/>
        <v>28.082571098435565</v>
      </c>
      <c r="J42" s="216">
        <f t="shared" si="3"/>
        <v>24.015777811066435</v>
      </c>
      <c r="K42" s="216">
        <f t="shared" si="3"/>
        <v>15.29174741600872</v>
      </c>
      <c r="L42" s="216">
        <f t="shared" si="3"/>
        <v>4.6336778244549732</v>
      </c>
      <c r="M42" s="216">
        <f t="shared" si="3"/>
        <v>0.96099559438975724</v>
      </c>
      <c r="N42" s="220">
        <f t="shared" si="3"/>
        <v>1</v>
      </c>
    </row>
    <row r="43" spans="1:28" ht="15" customHeight="1" thickBot="1" x14ac:dyDescent="0.3">
      <c r="A43" s="195" t="s">
        <v>15</v>
      </c>
      <c r="B43" s="222"/>
      <c r="C43" s="222"/>
      <c r="D43" s="222"/>
      <c r="E43" s="222"/>
      <c r="F43" s="222"/>
      <c r="G43" s="223"/>
      <c r="I43" s="221"/>
      <c r="J43" s="222"/>
      <c r="K43" s="222"/>
      <c r="L43" s="222"/>
      <c r="M43" s="222"/>
      <c r="N43" s="223"/>
    </row>
    <row r="65" spans="1:28" s="5" customFormat="1" ht="16.5" customHeight="1" x14ac:dyDescent="0.25">
      <c r="A65" s="5" t="s">
        <v>130</v>
      </c>
    </row>
    <row r="66" spans="1:28" ht="5.0999999999999996" customHeight="1" thickBot="1" x14ac:dyDescent="0.3">
      <c r="A66" s="213"/>
      <c r="B66" s="214"/>
      <c r="C66" s="48"/>
    </row>
    <row r="67" spans="1:28" ht="18" customHeight="1" x14ac:dyDescent="0.25">
      <c r="A67" s="599" t="s">
        <v>56</v>
      </c>
      <c r="B67" s="183" t="s">
        <v>98</v>
      </c>
      <c r="C67" s="183"/>
      <c r="D67" s="183"/>
      <c r="E67" s="183"/>
      <c r="F67" s="183"/>
      <c r="G67" s="184"/>
      <c r="I67" s="201" t="s">
        <v>99</v>
      </c>
      <c r="J67" s="183"/>
      <c r="K67" s="183"/>
      <c r="L67" s="183"/>
      <c r="M67" s="183"/>
      <c r="N67" s="184"/>
    </row>
    <row r="68" spans="1:28" ht="18" customHeight="1" x14ac:dyDescent="0.25">
      <c r="A68" s="600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28" ht="18" customHeight="1" x14ac:dyDescent="0.25">
      <c r="A69" s="189" t="s">
        <v>11</v>
      </c>
      <c r="B69" s="215">
        <f t="shared" ref="B69:G72" si="4">B29/B$32</f>
        <v>1.9771851085752694</v>
      </c>
      <c r="C69" s="215">
        <f t="shared" si="4"/>
        <v>1.544575175354457</v>
      </c>
      <c r="D69" s="215">
        <f t="shared" si="4"/>
        <v>1.092748330538422</v>
      </c>
      <c r="E69" s="215">
        <f t="shared" si="4"/>
        <v>2.2535227500571375</v>
      </c>
      <c r="F69" s="215">
        <f t="shared" si="4"/>
        <v>0.17162841380154734</v>
      </c>
      <c r="G69" s="218">
        <f t="shared" si="4"/>
        <v>3.5395818517860911</v>
      </c>
      <c r="I69" s="217">
        <f t="shared" ref="I69:N72" si="5">I29/I$32</f>
        <v>3.2398188895049413</v>
      </c>
      <c r="J69" s="215">
        <f t="shared" si="5"/>
        <v>3.2162450313861539</v>
      </c>
      <c r="K69" s="215">
        <f t="shared" si="5"/>
        <v>2.7720537403373711</v>
      </c>
      <c r="L69" s="215">
        <f t="shared" si="5"/>
        <v>6.0342094508835791</v>
      </c>
      <c r="M69" s="215">
        <f t="shared" si="5"/>
        <v>0.72078864045093249</v>
      </c>
      <c r="N69" s="218">
        <f t="shared" si="5"/>
        <v>1.6234575652647392</v>
      </c>
    </row>
    <row r="70" spans="1:28" ht="18" customHeight="1" x14ac:dyDescent="0.25">
      <c r="A70" s="192" t="s">
        <v>12</v>
      </c>
      <c r="B70" s="216">
        <f t="shared" si="4"/>
        <v>2.9496183066611175</v>
      </c>
      <c r="C70" s="216">
        <f t="shared" si="4"/>
        <v>3.202831358171184</v>
      </c>
      <c r="D70" s="216">
        <f t="shared" si="4"/>
        <v>2.8514316236680419</v>
      </c>
      <c r="E70" s="216">
        <f t="shared" si="4"/>
        <v>5.8495353791391818</v>
      </c>
      <c r="F70" s="216">
        <f t="shared" si="4"/>
        <v>0.55389796463310759</v>
      </c>
      <c r="G70" s="220">
        <f t="shared" si="4"/>
        <v>0.95679812287660015</v>
      </c>
      <c r="I70" s="219">
        <f t="shared" si="5"/>
        <v>3.3008987086246164</v>
      </c>
      <c r="J70" s="216">
        <f t="shared" si="5"/>
        <v>3.1783325391742512</v>
      </c>
      <c r="K70" s="216">
        <f t="shared" si="5"/>
        <v>2.9630142892049958</v>
      </c>
      <c r="L70" s="216">
        <f t="shared" si="5"/>
        <v>6.2038815100911018</v>
      </c>
      <c r="M70" s="216">
        <f t="shared" si="5"/>
        <v>0.68821749705555735</v>
      </c>
      <c r="N70" s="220">
        <f t="shared" si="5"/>
        <v>1.5837794182518914</v>
      </c>
    </row>
    <row r="71" spans="1:28" ht="18" customHeight="1" x14ac:dyDescent="0.25">
      <c r="A71" s="192" t="s">
        <v>13</v>
      </c>
      <c r="B71" s="216">
        <f t="shared" si="4"/>
        <v>1.8395875426831725</v>
      </c>
      <c r="C71" s="216">
        <f t="shared" si="4"/>
        <v>1.7021606277129251</v>
      </c>
      <c r="D71" s="216">
        <f t="shared" si="4"/>
        <v>1.3773434117035295</v>
      </c>
      <c r="E71" s="216">
        <f t="shared" si="4"/>
        <v>3.9191040356023303</v>
      </c>
      <c r="F71" s="216">
        <f t="shared" si="4"/>
        <v>0.42021704208797805</v>
      </c>
      <c r="G71" s="220">
        <f t="shared" si="4"/>
        <v>0.60174525150052582</v>
      </c>
      <c r="I71" s="219">
        <f t="shared" si="5"/>
        <v>1.439344617386114</v>
      </c>
      <c r="J71" s="216">
        <f t="shared" si="5"/>
        <v>1.3779154854927835</v>
      </c>
      <c r="K71" s="216">
        <f t="shared" si="5"/>
        <v>1.2129540792849736</v>
      </c>
      <c r="L71" s="216">
        <f t="shared" si="5"/>
        <v>2.9222314259606383</v>
      </c>
      <c r="M71" s="216">
        <f t="shared" si="5"/>
        <v>0.41530543328689146</v>
      </c>
      <c r="N71" s="220">
        <f t="shared" si="5"/>
        <v>0.63923069633072427</v>
      </c>
    </row>
    <row r="72" spans="1:28" ht="18" customHeight="1" x14ac:dyDescent="0.25">
      <c r="A72" s="192" t="s">
        <v>14</v>
      </c>
      <c r="B72" s="216">
        <f t="shared" si="4"/>
        <v>1</v>
      </c>
      <c r="C72" s="216">
        <f t="shared" si="4"/>
        <v>1</v>
      </c>
      <c r="D72" s="216">
        <f t="shared" si="4"/>
        <v>1</v>
      </c>
      <c r="E72" s="216">
        <f t="shared" si="4"/>
        <v>1</v>
      </c>
      <c r="F72" s="216">
        <f t="shared" si="4"/>
        <v>1</v>
      </c>
      <c r="G72" s="220">
        <f t="shared" si="4"/>
        <v>1</v>
      </c>
      <c r="I72" s="219">
        <f t="shared" si="5"/>
        <v>1</v>
      </c>
      <c r="J72" s="216">
        <f t="shared" si="5"/>
        <v>1</v>
      </c>
      <c r="K72" s="216">
        <f t="shared" si="5"/>
        <v>1</v>
      </c>
      <c r="L72" s="216">
        <f t="shared" si="5"/>
        <v>1</v>
      </c>
      <c r="M72" s="216">
        <f t="shared" si="5"/>
        <v>1</v>
      </c>
      <c r="N72" s="220">
        <f t="shared" si="5"/>
        <v>1</v>
      </c>
    </row>
    <row r="73" spans="1:28" ht="18" customHeight="1" thickBot="1" x14ac:dyDescent="0.3">
      <c r="A73" s="274" t="s">
        <v>15</v>
      </c>
      <c r="B73" s="287"/>
      <c r="C73" s="287"/>
      <c r="D73" s="287"/>
      <c r="E73" s="287"/>
      <c r="F73" s="287"/>
      <c r="G73" s="288"/>
      <c r="I73" s="289"/>
      <c r="J73" s="287"/>
      <c r="K73" s="287"/>
      <c r="L73" s="287"/>
      <c r="M73" s="287"/>
      <c r="N73" s="288"/>
    </row>
    <row r="75" spans="1:28" s="5" customFormat="1" ht="16.5" customHeight="1" x14ac:dyDescent="0.25">
      <c r="A75" s="5" t="s">
        <v>124</v>
      </c>
    </row>
    <row r="76" spans="1:28" ht="5.0999999999999996" customHeight="1" thickBot="1" x14ac:dyDescent="0.3"/>
    <row r="77" spans="1:28" ht="18" customHeight="1" x14ac:dyDescent="0.25">
      <c r="A77" s="599" t="s">
        <v>100</v>
      </c>
      <c r="B77" s="183" t="s">
        <v>125</v>
      </c>
      <c r="C77" s="183"/>
      <c r="D77" s="183"/>
      <c r="E77" s="183"/>
      <c r="F77" s="183"/>
      <c r="G77" s="184"/>
      <c r="I77" s="201" t="s">
        <v>126</v>
      </c>
      <c r="J77" s="183"/>
      <c r="K77" s="183"/>
      <c r="L77" s="183"/>
      <c r="M77" s="183"/>
      <c r="N77" s="184"/>
    </row>
    <row r="78" spans="1:28" ht="18" customHeight="1" x14ac:dyDescent="0.25">
      <c r="A78" s="600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28" ht="18" customHeight="1" x14ac:dyDescent="0.25">
      <c r="A79" s="245" t="s">
        <v>101</v>
      </c>
      <c r="B79" s="246">
        <f>SUM(B80:F80)</f>
        <v>23.248590168411702</v>
      </c>
      <c r="C79" s="246">
        <f>G80</f>
        <v>1.0528362248701753</v>
      </c>
      <c r="D79" s="246"/>
      <c r="E79" s="246"/>
      <c r="F79" s="246"/>
      <c r="G79" s="247"/>
      <c r="I79" s="257">
        <f t="shared" ref="I79:L79" si="6">I29</f>
        <v>1.2989805777348457E-2</v>
      </c>
      <c r="J79" s="255">
        <f t="shared" si="6"/>
        <v>1.1027849803765623E-2</v>
      </c>
      <c r="K79" s="255">
        <f t="shared" si="6"/>
        <v>6.0520682729202869E-3</v>
      </c>
      <c r="L79" s="254">
        <f t="shared" si="6"/>
        <v>3.9920067999632746E-3</v>
      </c>
      <c r="M79" s="549">
        <f>M80</f>
        <v>2.1785262205344609E-4</v>
      </c>
      <c r="N79" s="256">
        <f>M79</f>
        <v>2.1785262205344609E-4</v>
      </c>
      <c r="P79" s="319"/>
      <c r="Q79" s="319"/>
      <c r="R79" s="319"/>
      <c r="S79" s="319"/>
      <c r="T79" s="319"/>
      <c r="U79" s="319"/>
      <c r="W79" s="319"/>
      <c r="X79" s="319"/>
      <c r="Y79" s="319"/>
      <c r="Z79" s="319"/>
      <c r="AA79" s="319"/>
      <c r="AB79" s="319"/>
    </row>
    <row r="80" spans="1:28" ht="18" customHeight="1" x14ac:dyDescent="0.25">
      <c r="A80" s="248" t="s">
        <v>102</v>
      </c>
      <c r="B80" s="249">
        <f t="shared" ref="B80:E83" si="7">B29</f>
        <v>8.9162125421236738</v>
      </c>
      <c r="C80" s="249">
        <f t="shared" si="7"/>
        <v>7.8364738267498888</v>
      </c>
      <c r="D80" s="249">
        <f t="shared" si="7"/>
        <v>3.1022468287484823</v>
      </c>
      <c r="E80" s="249">
        <f t="shared" si="7"/>
        <v>2.3408207459194799</v>
      </c>
      <c r="F80" s="249">
        <f>SUM(F13:G13)/SUM(F21:G21)</f>
        <v>1.0528362248701753</v>
      </c>
      <c r="G80" s="250">
        <f>F80</f>
        <v>1.0528362248701753</v>
      </c>
      <c r="I80" s="257">
        <f t="shared" ref="I80:L83" si="8">I29</f>
        <v>1.2989805777348457E-2</v>
      </c>
      <c r="J80" s="255">
        <f t="shared" si="8"/>
        <v>1.1027849803765623E-2</v>
      </c>
      <c r="K80" s="255">
        <f t="shared" si="8"/>
        <v>6.0520682729202869E-3</v>
      </c>
      <c r="L80" s="255">
        <f t="shared" si="8"/>
        <v>3.9920067999632746E-3</v>
      </c>
      <c r="M80" s="550">
        <f>SUM(M13:N13)/SUM(M21:N21)</f>
        <v>2.1785262205344609E-4</v>
      </c>
      <c r="N80" s="258">
        <f>M80</f>
        <v>2.1785262205344609E-4</v>
      </c>
      <c r="P80" s="319"/>
      <c r="Q80" s="319"/>
      <c r="R80" s="319"/>
      <c r="S80" s="319"/>
      <c r="T80" s="319"/>
      <c r="U80" s="319"/>
      <c r="W80" s="319"/>
      <c r="X80" s="319"/>
      <c r="Y80" s="319"/>
      <c r="Z80" s="319"/>
      <c r="AA80" s="319"/>
      <c r="AB80" s="319"/>
    </row>
    <row r="81" spans="1:28" ht="18" customHeight="1" x14ac:dyDescent="0.25">
      <c r="A81" s="248" t="s">
        <v>103</v>
      </c>
      <c r="B81" s="551">
        <f>SUM(B14:C14)/SUM(B22:C22)</f>
        <v>14.814605123678016</v>
      </c>
      <c r="C81" s="551">
        <f>B81</f>
        <v>14.814605123678016</v>
      </c>
      <c r="D81" s="551">
        <f t="shared" si="7"/>
        <v>8.0950429890464992</v>
      </c>
      <c r="E81" s="551">
        <f t="shared" si="7"/>
        <v>6.0761373583345408</v>
      </c>
      <c r="F81" s="249">
        <f>SUM(F14:G14)/SUM(F22:G22)</f>
        <v>0.35060287204717711</v>
      </c>
      <c r="G81" s="250">
        <f t="shared" ref="G81:G82" si="9">F81</f>
        <v>0.35060287204717711</v>
      </c>
      <c r="I81" s="257">
        <f t="shared" si="8"/>
        <v>1.3234700635468563E-2</v>
      </c>
      <c r="J81" s="255">
        <f t="shared" si="8"/>
        <v>1.089785558201968E-2</v>
      </c>
      <c r="K81" s="255">
        <f t="shared" si="8"/>
        <v>6.4689816474209341E-3</v>
      </c>
      <c r="L81" s="255">
        <f t="shared" si="8"/>
        <v>4.1042554747289508E-3</v>
      </c>
      <c r="M81" s="550">
        <f t="shared" ref="M81:M83" si="10">SUM(M14:N14)/SUM(M22:N22)</f>
        <v>2.1001947738877435E-4</v>
      </c>
      <c r="N81" s="258">
        <f t="shared" ref="N81:N83" si="11">M81</f>
        <v>2.1001947738877435E-4</v>
      </c>
      <c r="P81" s="319"/>
      <c r="Q81" s="319"/>
      <c r="R81" s="319"/>
      <c r="S81" s="319"/>
      <c r="T81" s="319"/>
      <c r="U81" s="319"/>
      <c r="W81" s="319"/>
      <c r="X81" s="319"/>
      <c r="Y81" s="319"/>
      <c r="Z81" s="319"/>
      <c r="AA81" s="319"/>
      <c r="AB81" s="319"/>
    </row>
    <row r="82" spans="1:28" ht="18" customHeight="1" x14ac:dyDescent="0.25">
      <c r="A82" s="248" t="s">
        <v>104</v>
      </c>
      <c r="B82" s="551">
        <f>SUM(B15:C15)/SUM(B23:C23)</f>
        <v>8.4689210421174952</v>
      </c>
      <c r="C82" s="551">
        <f>B82</f>
        <v>8.4689210421174952</v>
      </c>
      <c r="D82" s="551">
        <f>SUM(D15:E15)/SUM(D23:E23)</f>
        <v>3.9907520619091321</v>
      </c>
      <c r="E82" s="551">
        <f>D82</f>
        <v>3.9907520619091321</v>
      </c>
      <c r="F82" s="249">
        <f>SUM(F15:G15)/SUM(F23:G23)</f>
        <v>0.22193032726807624</v>
      </c>
      <c r="G82" s="250">
        <f t="shared" si="9"/>
        <v>0.22193032726807624</v>
      </c>
      <c r="I82" s="257">
        <f t="shared" si="8"/>
        <v>5.7709420384836705E-3</v>
      </c>
      <c r="J82" s="255">
        <f t="shared" si="8"/>
        <v>4.7245918355132898E-3</v>
      </c>
      <c r="K82" s="255">
        <f t="shared" si="8"/>
        <v>2.6481740930666118E-3</v>
      </c>
      <c r="L82" s="255">
        <f t="shared" si="8"/>
        <v>1.9332387810623768E-3</v>
      </c>
      <c r="M82" s="550">
        <f t="shared" si="10"/>
        <v>8.7458209343703331E-5</v>
      </c>
      <c r="N82" s="258">
        <f t="shared" si="11"/>
        <v>8.7458209343703331E-5</v>
      </c>
      <c r="P82" s="319"/>
      <c r="Q82" s="319"/>
      <c r="R82" s="319"/>
      <c r="S82" s="319"/>
      <c r="T82" s="319"/>
      <c r="U82" s="319"/>
      <c r="W82" s="319"/>
      <c r="X82" s="319"/>
      <c r="Y82" s="319"/>
      <c r="Z82" s="319"/>
      <c r="AA82" s="319"/>
      <c r="AB82" s="319"/>
    </row>
    <row r="83" spans="1:28" ht="18" customHeight="1" x14ac:dyDescent="0.25">
      <c r="A83" s="248" t="s">
        <v>105</v>
      </c>
      <c r="B83" s="551">
        <f>SUM(B16:C16)/SUM(B24:C24)</f>
        <v>4.7984058864623291</v>
      </c>
      <c r="C83" s="551">
        <f>B83</f>
        <v>4.7984058864623291</v>
      </c>
      <c r="D83" s="551">
        <f t="shared" si="7"/>
        <v>2.8389398931590542</v>
      </c>
      <c r="E83" s="551">
        <f t="shared" si="7"/>
        <v>1.0387384577591368</v>
      </c>
      <c r="F83" s="249">
        <f>SUM(F16:G16)/SUM(F24:G24)</f>
        <v>0.37605861107085148</v>
      </c>
      <c r="G83" s="250">
        <f t="shared" ref="G83" si="12">F83</f>
        <v>0.37605861107085148</v>
      </c>
      <c r="I83" s="257">
        <f t="shared" si="8"/>
        <v>4.0094234339541606E-3</v>
      </c>
      <c r="J83" s="255">
        <f t="shared" si="8"/>
        <v>3.4287965301613801E-3</v>
      </c>
      <c r="K83" s="255">
        <f t="shared" si="8"/>
        <v>2.1832434865363482E-3</v>
      </c>
      <c r="L83" s="255">
        <f t="shared" si="8"/>
        <v>6.6156251824814132E-4</v>
      </c>
      <c r="M83" s="550">
        <f t="shared" si="10"/>
        <v>1.4222703474499278E-4</v>
      </c>
      <c r="N83" s="258">
        <f t="shared" si="11"/>
        <v>1.4222703474499278E-4</v>
      </c>
      <c r="P83" s="319"/>
      <c r="Q83" s="319"/>
      <c r="R83" s="319"/>
      <c r="S83" s="319"/>
      <c r="T83" s="319"/>
      <c r="U83" s="319"/>
      <c r="W83" s="319"/>
      <c r="X83" s="319"/>
      <c r="Y83" s="319"/>
      <c r="Z83" s="319"/>
      <c r="AA83" s="319"/>
      <c r="AB83" s="319"/>
    </row>
    <row r="84" spans="1:28" ht="18" customHeight="1" thickBot="1" x14ac:dyDescent="0.3">
      <c r="A84" s="281" t="s">
        <v>106</v>
      </c>
      <c r="B84" s="282"/>
      <c r="C84" s="282"/>
      <c r="D84" s="282"/>
      <c r="E84" s="282"/>
      <c r="F84" s="282"/>
      <c r="G84" s="283"/>
      <c r="I84" s="284"/>
      <c r="J84" s="285"/>
      <c r="K84" s="285"/>
      <c r="L84" s="285"/>
      <c r="M84" s="285"/>
      <c r="N84" s="286"/>
    </row>
    <row r="86" spans="1:28" s="5" customFormat="1" ht="16.5" customHeight="1" x14ac:dyDescent="0.25">
      <c r="A86" s="5" t="s">
        <v>131</v>
      </c>
    </row>
    <row r="87" spans="1:28" ht="5.0999999999999996" customHeight="1" thickBot="1" x14ac:dyDescent="0.3"/>
    <row r="88" spans="1:28" ht="22.5" customHeight="1" x14ac:dyDescent="0.25">
      <c r="A88" s="603" t="s">
        <v>100</v>
      </c>
      <c r="B88" s="183" t="s">
        <v>128</v>
      </c>
      <c r="C88" s="183"/>
      <c r="D88" s="183"/>
      <c r="E88" s="601" t="s">
        <v>127</v>
      </c>
    </row>
    <row r="89" spans="1:28" ht="26.4" x14ac:dyDescent="0.25">
      <c r="A89" s="604"/>
      <c r="B89" s="262" t="s">
        <v>98</v>
      </c>
      <c r="C89" s="262" t="s">
        <v>99</v>
      </c>
      <c r="D89" s="262" t="s">
        <v>4</v>
      </c>
      <c r="E89" s="602"/>
    </row>
    <row r="90" spans="1:28" ht="18" customHeight="1" x14ac:dyDescent="0.25">
      <c r="A90" s="245" t="s">
        <v>101</v>
      </c>
      <c r="B90" s="263">
        <f>'I. Datos de entrada'!C115*B79+'I. Datos de entrada'!H115*C79</f>
        <v>3011686.6186181009</v>
      </c>
      <c r="C90" s="265">
        <f>SUMPRODUCT(I79:N79,'I. Datos de entrada'!C102:H102)*1000</f>
        <v>325116.33505165391</v>
      </c>
      <c r="D90" s="266">
        <f>SUM(B90:C90)</f>
        <v>3336802.9536697548</v>
      </c>
      <c r="E90" s="268">
        <f t="shared" ref="E90:E94" si="13">B90/D90</f>
        <v>0.90256651664309484</v>
      </c>
    </row>
    <row r="91" spans="1:28" ht="18" customHeight="1" x14ac:dyDescent="0.25">
      <c r="A91" s="248" t="s">
        <v>102</v>
      </c>
      <c r="B91" s="265">
        <f>SUMPRODUCT(B80:G80,'I. Datos de entrada'!C116:H116)</f>
        <v>488491.67536950676</v>
      </c>
      <c r="C91" s="265">
        <f>SUMPRODUCT(I80:N80,'I. Datos de entrada'!C103:H103)*1000</f>
        <v>154682.70083079423</v>
      </c>
      <c r="D91" s="266">
        <f t="shared" ref="D91:D94" si="14">SUM(B91:C91)</f>
        <v>643174.37620030099</v>
      </c>
      <c r="E91" s="268">
        <f t="shared" si="13"/>
        <v>0.75950114532762092</v>
      </c>
      <c r="F91" s="312"/>
      <c r="G91" s="261"/>
    </row>
    <row r="92" spans="1:28" ht="18" customHeight="1" x14ac:dyDescent="0.25">
      <c r="A92" s="248" t="s">
        <v>103</v>
      </c>
      <c r="B92" s="265">
        <f>SUMPRODUCT(B81:G81,'I. Datos de entrada'!C117:H117)</f>
        <v>790455.4433372952</v>
      </c>
      <c r="C92" s="265">
        <f>SUMPRODUCT(I81:N81,'I. Datos de entrada'!C104:H104)*1000</f>
        <v>277708.78828628996</v>
      </c>
      <c r="D92" s="266">
        <f t="shared" si="14"/>
        <v>1068164.2316235851</v>
      </c>
      <c r="E92" s="268">
        <f t="shared" si="13"/>
        <v>0.7400130241543672</v>
      </c>
      <c r="F92" s="261"/>
      <c r="G92" s="261"/>
      <c r="I92" s="261"/>
    </row>
    <row r="93" spans="1:28" ht="18" customHeight="1" x14ac:dyDescent="0.25">
      <c r="A93" s="248" t="s">
        <v>104</v>
      </c>
      <c r="B93" s="265">
        <f>SUMPRODUCT(B82:G82,'I. Datos de entrada'!C118:H118)</f>
        <v>104388.14000524949</v>
      </c>
      <c r="C93" s="265">
        <f>SUMPRODUCT(I82:N82,'I. Datos de entrada'!C105:H105)*1000</f>
        <v>37937.582528097955</v>
      </c>
      <c r="D93" s="266">
        <f t="shared" si="14"/>
        <v>142325.72253334743</v>
      </c>
      <c r="E93" s="268">
        <f t="shared" si="13"/>
        <v>0.73344535441083725</v>
      </c>
      <c r="F93" s="261"/>
      <c r="G93" s="261"/>
      <c r="I93" s="261"/>
    </row>
    <row r="94" spans="1:28" ht="18" customHeight="1" x14ac:dyDescent="0.25">
      <c r="A94" s="248" t="s">
        <v>105</v>
      </c>
      <c r="B94" s="265">
        <f>SUMPRODUCT(B83:G83,'I. Datos de entrada'!C119:H119)</f>
        <v>26791.923093135469</v>
      </c>
      <c r="C94" s="265">
        <f>SUMPRODUCT(I83:N83,'I. Datos de entrada'!C106:H106)*1000</f>
        <v>10706.979239875933</v>
      </c>
      <c r="D94" s="266">
        <f t="shared" si="14"/>
        <v>37498.9023330114</v>
      </c>
      <c r="E94" s="268">
        <f t="shared" si="13"/>
        <v>0.71447219588477773</v>
      </c>
      <c r="F94" s="261"/>
      <c r="G94" s="261"/>
      <c r="I94" s="261"/>
    </row>
    <row r="95" spans="1:28" ht="18" customHeight="1" thickBot="1" x14ac:dyDescent="0.3">
      <c r="A95" s="251" t="s">
        <v>106</v>
      </c>
      <c r="B95" s="290"/>
      <c r="C95" s="290"/>
      <c r="D95" s="291"/>
      <c r="E95" s="292"/>
      <c r="F95" s="261"/>
      <c r="G95" s="261"/>
    </row>
    <row r="96" spans="1:28" ht="7.5" customHeight="1" thickBot="1" x14ac:dyDescent="0.3"/>
    <row r="97" spans="1:5" ht="16.5" customHeight="1" thickBot="1" x14ac:dyDescent="0.3">
      <c r="A97" s="421" t="s">
        <v>1</v>
      </c>
      <c r="B97" s="415">
        <f>SUM(B90:B95)</f>
        <v>4421813.8004232878</v>
      </c>
      <c r="C97" s="415">
        <f>SUM(C90:C95)</f>
        <v>806152.38593671191</v>
      </c>
      <c r="D97" s="416">
        <f>SUM(B97:C97)</f>
        <v>5227966.1863599997</v>
      </c>
      <c r="E97" s="422">
        <f>B97/D97</f>
        <v>0.8458</v>
      </c>
    </row>
    <row r="98" spans="1:5" x14ac:dyDescent="0.25">
      <c r="B98" s="261">
        <f>B97-SUM(B13:G17)</f>
        <v>0</v>
      </c>
      <c r="C98" s="261">
        <f>C97-SUM(I13:N17)</f>
        <v>0</v>
      </c>
      <c r="D98" s="261">
        <f>D97-'I. Datos de entrada'!C30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scale="49" orientation="portrait" r:id="rId1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topLeftCell="A56" zoomScaleNormal="100" workbookViewId="0">
      <selection activeCell="R24" sqref="R24"/>
    </sheetView>
  </sheetViews>
  <sheetFormatPr baseColWidth="10" defaultColWidth="11.44140625" defaultRowHeight="13.2" x14ac:dyDescent="0.25"/>
  <cols>
    <col min="1" max="1" width="13.33203125" style="336" customWidth="1"/>
    <col min="2" max="2" width="16.44140625" style="336" bestFit="1" customWidth="1"/>
    <col min="3" max="3" width="14.6640625" style="336" bestFit="1" customWidth="1"/>
    <col min="4" max="4" width="16.5546875" style="336" bestFit="1" customWidth="1"/>
    <col min="5" max="5" width="13.6640625" style="336" bestFit="1" customWidth="1"/>
    <col min="6" max="6" width="13.33203125" style="336" bestFit="1" customWidth="1"/>
    <col min="7" max="7" width="13" style="336" bestFit="1" customWidth="1"/>
    <col min="8" max="8" width="2.44140625" style="336" customWidth="1"/>
    <col min="9" max="9" width="22.6640625" style="336" bestFit="1" customWidth="1"/>
    <col min="10" max="10" width="16.5546875" style="336" customWidth="1"/>
    <col min="11" max="16384" width="11.44140625" style="336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402" customFormat="1" ht="29.25" customHeight="1" x14ac:dyDescent="0.25">
      <c r="A6" s="402" t="s">
        <v>206</v>
      </c>
    </row>
    <row r="7" spans="1:15" s="5" customFormat="1" ht="16.5" customHeight="1" x14ac:dyDescent="0.25">
      <c r="A7" s="5" t="s">
        <v>207</v>
      </c>
    </row>
    <row r="8" spans="1:15" ht="5.0999999999999996" customHeight="1" thickBot="1" x14ac:dyDescent="0.3"/>
    <row r="9" spans="1:15" s="339" customFormat="1" ht="24.9" customHeight="1" x14ac:dyDescent="0.25">
      <c r="A9" s="605" t="s">
        <v>146</v>
      </c>
      <c r="B9" s="337" t="s">
        <v>147</v>
      </c>
      <c r="C9" s="337"/>
      <c r="D9" s="337"/>
      <c r="E9" s="337"/>
      <c r="F9" s="337"/>
      <c r="G9" s="338"/>
    </row>
    <row r="10" spans="1:15" s="339" customFormat="1" ht="24.9" customHeight="1" x14ac:dyDescent="0.25">
      <c r="A10" s="606"/>
      <c r="B10" s="340" t="s">
        <v>16</v>
      </c>
      <c r="C10" s="340" t="s">
        <v>17</v>
      </c>
      <c r="D10" s="340" t="s">
        <v>18</v>
      </c>
      <c r="E10" s="340" t="s">
        <v>19</v>
      </c>
      <c r="F10" s="340" t="s">
        <v>20</v>
      </c>
      <c r="G10" s="341" t="s">
        <v>21</v>
      </c>
    </row>
    <row r="11" spans="1:15" ht="30" customHeight="1" thickBot="1" x14ac:dyDescent="0.3">
      <c r="A11" s="342" t="s">
        <v>101</v>
      </c>
      <c r="B11" s="343">
        <f>'I. Datos de entrada'!C102*1000</f>
        <v>9074336.9827060588</v>
      </c>
      <c r="C11" s="343">
        <f>'I. Datos de entrada'!D102*1000</f>
        <v>10237405.663982725</v>
      </c>
      <c r="D11" s="343">
        <f>'I. Datos de entrada'!E102*1000</f>
        <v>7957344.0028735017</v>
      </c>
      <c r="E11" s="343">
        <f>'I. Datos de entrada'!F102*1000</f>
        <v>9412128.4186034799</v>
      </c>
      <c r="F11" s="343">
        <f>'I. Datos de entrada'!G102*1000</f>
        <v>3867590.4891028344</v>
      </c>
      <c r="G11" s="344">
        <f>'I. Datos de entrada'!H102*1000</f>
        <v>35673903.841232561</v>
      </c>
      <c r="H11" s="345"/>
      <c r="I11" s="346"/>
      <c r="J11" s="345"/>
      <c r="K11" s="345"/>
      <c r="L11" s="345"/>
      <c r="M11" s="345"/>
      <c r="N11" s="345"/>
      <c r="O11" s="339"/>
    </row>
    <row r="12" spans="1:15" ht="13.8" thickBot="1" x14ac:dyDescent="0.3"/>
    <row r="13" spans="1:15" s="339" customFormat="1" ht="24.9" customHeight="1" x14ac:dyDescent="0.25">
      <c r="A13" s="605" t="s">
        <v>56</v>
      </c>
      <c r="B13" s="337" t="s">
        <v>152</v>
      </c>
      <c r="C13" s="337"/>
      <c r="D13" s="337"/>
      <c r="E13" s="337"/>
      <c r="F13" s="337"/>
      <c r="G13" s="338"/>
    </row>
    <row r="14" spans="1:15" s="339" customFormat="1" ht="24.9" customHeight="1" x14ac:dyDescent="0.25">
      <c r="A14" s="606"/>
      <c r="B14" s="340" t="s">
        <v>16</v>
      </c>
      <c r="C14" s="340" t="s">
        <v>17</v>
      </c>
      <c r="D14" s="340" t="s">
        <v>18</v>
      </c>
      <c r="E14" s="340" t="s">
        <v>19</v>
      </c>
      <c r="F14" s="340" t="s">
        <v>20</v>
      </c>
      <c r="G14" s="341" t="s">
        <v>21</v>
      </c>
    </row>
    <row r="15" spans="1:15" s="339" customFormat="1" ht="24.9" customHeight="1" x14ac:dyDescent="0.25">
      <c r="A15" s="358" t="s">
        <v>2</v>
      </c>
      <c r="B15" s="359">
        <f>'Va. Peajes transporte'!I79</f>
        <v>5.4993453972665722E-3</v>
      </c>
      <c r="C15" s="359">
        <f>'Va. Peajes transporte'!J79</f>
        <v>4.6356002823448542E-3</v>
      </c>
      <c r="D15" s="359">
        <f>'Va. Peajes transporte'!K79</f>
        <v>2.4711057551169203E-3</v>
      </c>
      <c r="E15" s="359">
        <f>'Va. Peajes transporte'!L79</f>
        <v>1.6319963020723961E-3</v>
      </c>
      <c r="F15" s="359">
        <f>'Va. Peajes transporte'!M79</f>
        <v>1.2180314562931949E-4</v>
      </c>
      <c r="G15" s="360">
        <f>'Va. Peajes transporte'!N79</f>
        <v>1.2180314562931949E-4</v>
      </c>
    </row>
    <row r="16" spans="1:15" ht="30" customHeight="1" thickBot="1" x14ac:dyDescent="0.3">
      <c r="A16" s="342" t="s">
        <v>150</v>
      </c>
      <c r="B16" s="361">
        <f>'Vb. Peajes distribución'!I79</f>
        <v>1.2989805777348457E-2</v>
      </c>
      <c r="C16" s="361">
        <f>'Vb. Peajes distribución'!J79</f>
        <v>1.1027849803765623E-2</v>
      </c>
      <c r="D16" s="361">
        <f>'Vb. Peajes distribución'!K79</f>
        <v>6.0520682729202869E-3</v>
      </c>
      <c r="E16" s="361">
        <f>'Vb. Peajes distribución'!L79</f>
        <v>3.9920067999632746E-3</v>
      </c>
      <c r="F16" s="361">
        <f>'Vb. Peajes distribución'!M79</f>
        <v>2.1785262205344609E-4</v>
      </c>
      <c r="G16" s="362">
        <f>'Vb. Peajes distribución'!N79</f>
        <v>2.1785262205344609E-4</v>
      </c>
      <c r="H16" s="345"/>
      <c r="I16" s="346"/>
      <c r="J16" s="345"/>
      <c r="K16" s="345"/>
      <c r="L16" s="345"/>
      <c r="M16" s="345"/>
      <c r="N16" s="345"/>
      <c r="O16" s="339"/>
    </row>
    <row r="17" spans="1:15" ht="13.8" thickBot="1" x14ac:dyDescent="0.3"/>
    <row r="18" spans="1:15" s="339" customFormat="1" ht="24.9" customHeight="1" x14ac:dyDescent="0.25">
      <c r="A18" s="605" t="s">
        <v>146</v>
      </c>
      <c r="B18" s="337" t="s">
        <v>148</v>
      </c>
      <c r="C18" s="337"/>
      <c r="D18" s="337"/>
      <c r="E18" s="337"/>
      <c r="F18" s="337"/>
      <c r="G18" s="338"/>
      <c r="I18" s="607" t="s">
        <v>153</v>
      </c>
    </row>
    <row r="19" spans="1:15" s="339" customFormat="1" ht="24.9" customHeight="1" x14ac:dyDescent="0.25">
      <c r="A19" s="606"/>
      <c r="B19" s="340" t="s">
        <v>16</v>
      </c>
      <c r="C19" s="340" t="s">
        <v>17</v>
      </c>
      <c r="D19" s="340" t="s">
        <v>18</v>
      </c>
      <c r="E19" s="340" t="s">
        <v>19</v>
      </c>
      <c r="F19" s="340" t="s">
        <v>20</v>
      </c>
      <c r="G19" s="341" t="s">
        <v>21</v>
      </c>
      <c r="I19" s="608"/>
    </row>
    <row r="20" spans="1:15" s="339" customFormat="1" ht="24.9" customHeight="1" x14ac:dyDescent="0.25">
      <c r="A20" s="358" t="s">
        <v>2</v>
      </c>
      <c r="B20" s="367">
        <f>B11*B15</f>
        <v>49902.913319090396</v>
      </c>
      <c r="C20" s="367">
        <f t="shared" ref="C20:G20" si="0">C11*C15</f>
        <v>47456.520586437131</v>
      </c>
      <c r="D20" s="367">
        <f t="shared" si="0"/>
        <v>19663.438560945822</v>
      </c>
      <c r="E20" s="367">
        <f t="shared" si="0"/>
        <v>15360.558773791388</v>
      </c>
      <c r="F20" s="367">
        <f t="shared" si="0"/>
        <v>471.08468757876352</v>
      </c>
      <c r="G20" s="368">
        <f t="shared" si="0"/>
        <v>4345.1937047399897</v>
      </c>
      <c r="I20" s="393">
        <f>SUM(B20:H20)</f>
        <v>137199.70963258349</v>
      </c>
    </row>
    <row r="21" spans="1:15" ht="30" customHeight="1" thickBot="1" x14ac:dyDescent="0.3">
      <c r="A21" s="342" t="s">
        <v>150</v>
      </c>
      <c r="B21" s="363">
        <f>B11*B$16</f>
        <v>117873.87496356192</v>
      </c>
      <c r="C21" s="363">
        <f t="shared" ref="C21:G21" si="1">C11*C$16</f>
        <v>112896.57204262097</v>
      </c>
      <c r="D21" s="363">
        <f t="shared" si="1"/>
        <v>48158.389176503239</v>
      </c>
      <c r="E21" s="363">
        <f t="shared" si="1"/>
        <v>37573.280649192675</v>
      </c>
      <c r="F21" s="363">
        <f t="shared" si="1"/>
        <v>842.56472908002252</v>
      </c>
      <c r="G21" s="364">
        <f t="shared" si="1"/>
        <v>7771.6534906950155</v>
      </c>
      <c r="H21" s="345"/>
      <c r="I21" s="394">
        <f>SUM(B21:H21)</f>
        <v>325116.33505165385</v>
      </c>
      <c r="J21" s="346"/>
      <c r="K21" s="345"/>
      <c r="L21" s="345"/>
      <c r="M21" s="345"/>
      <c r="N21" s="345"/>
      <c r="O21" s="339"/>
    </row>
    <row r="22" spans="1:15" ht="13.8" thickBot="1" x14ac:dyDescent="0.3"/>
    <row r="23" spans="1:15" ht="24.9" customHeight="1" x14ac:dyDescent="0.25">
      <c r="A23" s="605" t="s">
        <v>144</v>
      </c>
      <c r="B23" s="337" t="s">
        <v>215</v>
      </c>
      <c r="C23" s="337"/>
      <c r="D23" s="337"/>
      <c r="E23" s="337"/>
      <c r="F23" s="337"/>
      <c r="G23" s="338"/>
    </row>
    <row r="24" spans="1:15" ht="24.9" customHeight="1" x14ac:dyDescent="0.25">
      <c r="A24" s="606"/>
      <c r="B24" s="340" t="s">
        <v>16</v>
      </c>
      <c r="C24" s="340" t="s">
        <v>17</v>
      </c>
      <c r="D24" s="340" t="s">
        <v>18</v>
      </c>
      <c r="E24" s="340" t="s">
        <v>19</v>
      </c>
      <c r="F24" s="340" t="s">
        <v>20</v>
      </c>
      <c r="G24" s="341" t="s">
        <v>21</v>
      </c>
    </row>
    <row r="25" spans="1:15" s="339" customFormat="1" ht="24.9" customHeight="1" x14ac:dyDescent="0.25">
      <c r="A25" s="365" t="s">
        <v>16</v>
      </c>
      <c r="B25" s="347">
        <f>'I. Datos de entrada'!C138</f>
        <v>0.90496956739048651</v>
      </c>
      <c r="C25" s="347">
        <f>'I. Datos de entrada'!D138</f>
        <v>0.33852175110819782</v>
      </c>
      <c r="D25" s="347">
        <f>'I. Datos de entrada'!E138</f>
        <v>0.58664686028604529</v>
      </c>
      <c r="E25" s="347">
        <f>'I. Datos de entrada'!F138</f>
        <v>0.52201433926564533</v>
      </c>
      <c r="F25" s="347">
        <f>'I. Datos de entrada'!G138</f>
        <v>0</v>
      </c>
      <c r="G25" s="348">
        <f>'I. Datos de entrada'!H138</f>
        <v>0</v>
      </c>
    </row>
    <row r="26" spans="1:15" s="339" customFormat="1" ht="24.9" customHeight="1" x14ac:dyDescent="0.25">
      <c r="A26" s="365" t="s">
        <v>17</v>
      </c>
      <c r="B26" s="349">
        <f>'I. Datos de entrada'!C139</f>
        <v>9.5030432609513618E-2</v>
      </c>
      <c r="C26" s="349">
        <f>'I. Datos de entrada'!D139</f>
        <v>0.66147824889180229</v>
      </c>
      <c r="D26" s="349">
        <f>'I. Datos de entrada'!E139</f>
        <v>0.41335313971395471</v>
      </c>
      <c r="E26" s="349">
        <f>'I. Datos de entrada'!F139</f>
        <v>0.47798566073435472</v>
      </c>
      <c r="F26" s="349">
        <f>'I. Datos de entrada'!G139</f>
        <v>1</v>
      </c>
      <c r="G26" s="348">
        <f>'I. Datos de entrada'!H139</f>
        <v>0</v>
      </c>
    </row>
    <row r="27" spans="1:15" s="339" customFormat="1" ht="24.9" customHeight="1" x14ac:dyDescent="0.25">
      <c r="A27" s="365" t="s">
        <v>18</v>
      </c>
      <c r="B27" s="349">
        <f>'I. Datos de entrada'!C140</f>
        <v>0</v>
      </c>
      <c r="C27" s="349">
        <f>'I. Datos de entrada'!D140</f>
        <v>0</v>
      </c>
      <c r="D27" s="349">
        <f>'I. Datos de entrada'!E140</f>
        <v>0</v>
      </c>
      <c r="E27" s="349">
        <f>'I. Datos de entrada'!F140</f>
        <v>0</v>
      </c>
      <c r="F27" s="349">
        <f>'I. Datos de entrada'!G140</f>
        <v>0</v>
      </c>
      <c r="G27" s="348">
        <f>'I. Datos de entrada'!H140</f>
        <v>1</v>
      </c>
    </row>
    <row r="28" spans="1:15" s="339" customFormat="1" ht="24.9" customHeight="1" thickBot="1" x14ac:dyDescent="0.3">
      <c r="A28" s="406" t="s">
        <v>4</v>
      </c>
      <c r="B28" s="412">
        <f>SUM(B25:B27)</f>
        <v>1.0000000000000002</v>
      </c>
      <c r="C28" s="412">
        <f t="shared" ref="C28:G28" si="2">SUM(C25:C27)</f>
        <v>1</v>
      </c>
      <c r="D28" s="412">
        <f t="shared" si="2"/>
        <v>1</v>
      </c>
      <c r="E28" s="412">
        <f t="shared" si="2"/>
        <v>1</v>
      </c>
      <c r="F28" s="412">
        <f t="shared" si="2"/>
        <v>1</v>
      </c>
      <c r="G28" s="413">
        <f t="shared" si="2"/>
        <v>1</v>
      </c>
    </row>
    <row r="29" spans="1:15" s="339" customFormat="1" ht="24.9" customHeight="1" x14ac:dyDescent="0.25">
      <c r="A29" s="369"/>
      <c r="B29" s="370"/>
      <c r="C29" s="370"/>
      <c r="D29" s="370"/>
      <c r="E29" s="370"/>
      <c r="F29" s="370"/>
      <c r="G29" s="370"/>
    </row>
    <row r="30" spans="1:15" ht="13.8" thickBot="1" x14ac:dyDescent="0.3">
      <c r="B30" s="350"/>
    </row>
    <row r="31" spans="1:15" ht="24.9" customHeight="1" x14ac:dyDescent="0.25">
      <c r="A31" s="605" t="s">
        <v>144</v>
      </c>
      <c r="B31" s="337" t="s">
        <v>145</v>
      </c>
      <c r="C31" s="337"/>
      <c r="D31" s="337"/>
      <c r="E31" s="337"/>
      <c r="F31" s="337"/>
      <c r="G31" s="338"/>
      <c r="I31" s="607" t="s">
        <v>149</v>
      </c>
    </row>
    <row r="32" spans="1:15" ht="24.9" customHeight="1" x14ac:dyDescent="0.25">
      <c r="A32" s="606"/>
      <c r="B32" s="340" t="s">
        <v>16</v>
      </c>
      <c r="C32" s="340" t="s">
        <v>17</v>
      </c>
      <c r="D32" s="340" t="s">
        <v>18</v>
      </c>
      <c r="E32" s="340" t="s">
        <v>19</v>
      </c>
      <c r="F32" s="340" t="s">
        <v>20</v>
      </c>
      <c r="G32" s="341" t="s">
        <v>21</v>
      </c>
      <c r="I32" s="608"/>
    </row>
    <row r="33" spans="1:9" s="339" customFormat="1" ht="24.9" customHeight="1" x14ac:dyDescent="0.25">
      <c r="A33" s="376" t="s">
        <v>2</v>
      </c>
      <c r="B33" s="351"/>
      <c r="C33" s="351"/>
      <c r="D33" s="351"/>
      <c r="E33" s="351"/>
      <c r="F33" s="351"/>
      <c r="G33" s="352"/>
      <c r="I33" s="371">
        <f>SUM(I34:I36)</f>
        <v>137199.70963258352</v>
      </c>
    </row>
    <row r="34" spans="1:9" s="339" customFormat="1" ht="24.9" customHeight="1" x14ac:dyDescent="0.25">
      <c r="A34" s="365" t="s">
        <v>16</v>
      </c>
      <c r="B34" s="354">
        <f>B$20*B25</f>
        <v>45160.617877902179</v>
      </c>
      <c r="C34" s="354">
        <f t="shared" ref="C34:G34" si="3">C$20*C25</f>
        <v>16065.064450422937</v>
      </c>
      <c r="D34" s="354">
        <f t="shared" si="3"/>
        <v>11535.494494206419</v>
      </c>
      <c r="E34" s="354">
        <f t="shared" si="3"/>
        <v>8018.4319390518231</v>
      </c>
      <c r="F34" s="354">
        <f t="shared" si="3"/>
        <v>0</v>
      </c>
      <c r="G34" s="372">
        <f t="shared" si="3"/>
        <v>0</v>
      </c>
      <c r="I34" s="353">
        <f>SUM(B34:H34)</f>
        <v>80779.608761583353</v>
      </c>
    </row>
    <row r="35" spans="1:9" s="339" customFormat="1" ht="24.9" customHeight="1" x14ac:dyDescent="0.25">
      <c r="A35" s="365" t="s">
        <v>17</v>
      </c>
      <c r="B35" s="354">
        <f t="shared" ref="B35:G36" si="4">B$20*B26</f>
        <v>4742.2954411882192</v>
      </c>
      <c r="C35" s="354">
        <f t="shared" si="4"/>
        <v>31391.4561360142</v>
      </c>
      <c r="D35" s="354">
        <f t="shared" si="4"/>
        <v>8127.9440667394028</v>
      </c>
      <c r="E35" s="354">
        <f t="shared" si="4"/>
        <v>7342.1268347395662</v>
      </c>
      <c r="F35" s="354">
        <f t="shared" si="4"/>
        <v>471.08468757876352</v>
      </c>
      <c r="G35" s="372">
        <f t="shared" si="4"/>
        <v>0</v>
      </c>
      <c r="I35" s="353">
        <f t="shared" ref="I35:I36" si="5">SUM(B35:H35)</f>
        <v>52074.907166260149</v>
      </c>
    </row>
    <row r="36" spans="1:9" s="339" customFormat="1" ht="24.9" customHeight="1" x14ac:dyDescent="0.25">
      <c r="A36" s="365" t="s">
        <v>18</v>
      </c>
      <c r="B36" s="354">
        <f t="shared" si="4"/>
        <v>0</v>
      </c>
      <c r="C36" s="354">
        <f t="shared" si="4"/>
        <v>0</v>
      </c>
      <c r="D36" s="354">
        <f t="shared" si="4"/>
        <v>0</v>
      </c>
      <c r="E36" s="354">
        <f t="shared" si="4"/>
        <v>0</v>
      </c>
      <c r="F36" s="354">
        <f t="shared" si="4"/>
        <v>0</v>
      </c>
      <c r="G36" s="372">
        <f t="shared" si="4"/>
        <v>4345.1937047399897</v>
      </c>
      <c r="I36" s="353">
        <f t="shared" si="5"/>
        <v>4345.1937047399897</v>
      </c>
    </row>
    <row r="37" spans="1:9" s="339" customFormat="1" ht="24.9" customHeight="1" x14ac:dyDescent="0.25">
      <c r="A37" s="376" t="s">
        <v>151</v>
      </c>
      <c r="B37" s="354"/>
      <c r="C37" s="354"/>
      <c r="D37" s="354"/>
      <c r="E37" s="354"/>
      <c r="F37" s="354"/>
      <c r="G37" s="352"/>
      <c r="I37" s="371">
        <f>SUM(I38:I40)</f>
        <v>325116.33505165385</v>
      </c>
    </row>
    <row r="38" spans="1:9" s="339" customFormat="1" ht="24.9" customHeight="1" x14ac:dyDescent="0.25">
      <c r="A38" s="365" t="s">
        <v>16</v>
      </c>
      <c r="B38" s="354">
        <f>B$21*B25</f>
        <v>106672.26963241493</v>
      </c>
      <c r="C38" s="354">
        <f t="shared" ref="C38:G38" si="6">C$21*C25</f>
        <v>38217.945261980865</v>
      </c>
      <c r="D38" s="354">
        <f t="shared" si="6"/>
        <v>28251.967806829092</v>
      </c>
      <c r="E38" s="354">
        <f t="shared" si="6"/>
        <v>19613.791272130973</v>
      </c>
      <c r="F38" s="354">
        <f t="shared" si="6"/>
        <v>0</v>
      </c>
      <c r="G38" s="352">
        <f t="shared" si="6"/>
        <v>0</v>
      </c>
      <c r="I38" s="353">
        <f>SUM(B38:H38)</f>
        <v>192755.97397335584</v>
      </c>
    </row>
    <row r="39" spans="1:9" s="339" customFormat="1" ht="24.9" customHeight="1" x14ac:dyDescent="0.25">
      <c r="A39" s="365" t="s">
        <v>17</v>
      </c>
      <c r="B39" s="354">
        <f>B$21*B26</f>
        <v>11201.605331147006</v>
      </c>
      <c r="C39" s="354">
        <f t="shared" ref="C39:G40" si="7">C$21*C26</f>
        <v>74678.62678064013</v>
      </c>
      <c r="D39" s="354">
        <f t="shared" si="7"/>
        <v>19906.421369674146</v>
      </c>
      <c r="E39" s="354">
        <f t="shared" si="7"/>
        <v>17959.489377061705</v>
      </c>
      <c r="F39" s="354">
        <f t="shared" si="7"/>
        <v>842.56472908002252</v>
      </c>
      <c r="G39" s="352">
        <f t="shared" si="7"/>
        <v>0</v>
      </c>
      <c r="I39" s="353">
        <f t="shared" ref="I39:I40" si="8">SUM(B39:H39)</f>
        <v>124588.70758760301</v>
      </c>
    </row>
    <row r="40" spans="1:9" s="339" customFormat="1" ht="24.9" customHeight="1" thickBot="1" x14ac:dyDescent="0.3">
      <c r="A40" s="366" t="s">
        <v>18</v>
      </c>
      <c r="B40" s="355">
        <f>B$21*B27</f>
        <v>0</v>
      </c>
      <c r="C40" s="355">
        <f t="shared" si="7"/>
        <v>0</v>
      </c>
      <c r="D40" s="355">
        <f t="shared" si="7"/>
        <v>0</v>
      </c>
      <c r="E40" s="355">
        <f t="shared" si="7"/>
        <v>0</v>
      </c>
      <c r="F40" s="355">
        <f t="shared" si="7"/>
        <v>0</v>
      </c>
      <c r="G40" s="356">
        <f t="shared" si="7"/>
        <v>7771.6534906950155</v>
      </c>
      <c r="I40" s="357">
        <f t="shared" si="8"/>
        <v>7771.6534906950155</v>
      </c>
    </row>
    <row r="42" spans="1:9" ht="13.8" thickBot="1" x14ac:dyDescent="0.3"/>
    <row r="43" spans="1:9" ht="60" customHeight="1" x14ac:dyDescent="0.25">
      <c r="A43" s="521" t="s">
        <v>213</v>
      </c>
      <c r="B43" s="522" t="s">
        <v>210</v>
      </c>
    </row>
    <row r="44" spans="1:9" s="339" customFormat="1" ht="24.9" customHeight="1" x14ac:dyDescent="0.25">
      <c r="A44" s="536" t="s">
        <v>16</v>
      </c>
      <c r="B44" s="352">
        <f>'I. Datos de entrada'!$C$101*1000</f>
        <v>21827786.555285253</v>
      </c>
      <c r="C44" s="336"/>
      <c r="D44" s="336"/>
      <c r="E44" s="336"/>
      <c r="F44" s="336"/>
      <c r="G44" s="336"/>
    </row>
    <row r="45" spans="1:9" s="339" customFormat="1" ht="24.9" customHeight="1" x14ac:dyDescent="0.25">
      <c r="A45" s="536" t="s">
        <v>17</v>
      </c>
      <c r="B45" s="352">
        <f>'I. Datos de entrada'!$D$101*1000</f>
        <v>18721019.001983345</v>
      </c>
      <c r="C45" s="336"/>
      <c r="D45" s="336"/>
      <c r="E45" s="336"/>
      <c r="F45" s="336"/>
      <c r="G45" s="336"/>
    </row>
    <row r="46" spans="1:9" s="339" customFormat="1" ht="24.9" customHeight="1" thickBot="1" x14ac:dyDescent="0.3">
      <c r="A46" s="537" t="s">
        <v>18</v>
      </c>
      <c r="B46" s="356">
        <f>'I. Datos de entrada'!$E$101*1000</f>
        <v>35673903.841232561</v>
      </c>
      <c r="C46" s="336"/>
      <c r="D46" s="336"/>
      <c r="E46" s="336"/>
      <c r="F46" s="336"/>
      <c r="G46" s="336"/>
    </row>
    <row r="47" spans="1:9" ht="13.8" thickBot="1" x14ac:dyDescent="0.3"/>
    <row r="48" spans="1:9" ht="24.9" customHeight="1" x14ac:dyDescent="0.25">
      <c r="A48" s="605" t="s">
        <v>146</v>
      </c>
      <c r="B48" s="337" t="s">
        <v>165</v>
      </c>
      <c r="C48" s="337"/>
      <c r="D48" s="338"/>
    </row>
    <row r="49" spans="1:15" ht="24.9" customHeight="1" x14ac:dyDescent="0.25">
      <c r="A49" s="606"/>
      <c r="B49" s="340" t="s">
        <v>16</v>
      </c>
      <c r="C49" s="340" t="s">
        <v>17</v>
      </c>
      <c r="D49" s="341" t="s">
        <v>18</v>
      </c>
    </row>
    <row r="50" spans="1:15" ht="30" customHeight="1" x14ac:dyDescent="0.25">
      <c r="A50" s="375" t="s">
        <v>2</v>
      </c>
      <c r="B50" s="513">
        <f>I34/B44</f>
        <v>3.7007695927841959E-3</v>
      </c>
      <c r="C50" s="513">
        <f>I35/B45</f>
        <v>2.7816278142094308E-3</v>
      </c>
      <c r="D50" s="514">
        <f>I36/B46</f>
        <v>1.2180314562931949E-4</v>
      </c>
      <c r="I50" s="346"/>
      <c r="J50" s="345"/>
      <c r="K50" s="345"/>
      <c r="L50" s="345"/>
      <c r="M50" s="345"/>
      <c r="N50" s="345"/>
      <c r="O50" s="339"/>
    </row>
    <row r="51" spans="1:15" ht="30" customHeight="1" x14ac:dyDescent="0.25">
      <c r="A51" s="375" t="s">
        <v>150</v>
      </c>
      <c r="B51" s="513">
        <f>I38/B44</f>
        <v>8.8307613548054883E-3</v>
      </c>
      <c r="C51" s="513">
        <f>I39/B45</f>
        <v>6.6550174204942488E-3</v>
      </c>
      <c r="D51" s="514">
        <f>I40/B46</f>
        <v>2.1785262205344609E-4</v>
      </c>
      <c r="I51" s="346"/>
      <c r="J51" s="345"/>
      <c r="K51" s="345"/>
      <c r="L51" s="345"/>
      <c r="M51" s="345"/>
      <c r="N51" s="345"/>
      <c r="O51" s="339"/>
    </row>
    <row r="52" spans="1:15" ht="30" customHeight="1" thickBot="1" x14ac:dyDescent="0.3">
      <c r="A52" s="406" t="s">
        <v>154</v>
      </c>
      <c r="B52" s="410">
        <f>SUM(B50:B51)</f>
        <v>1.2531530947589685E-2</v>
      </c>
      <c r="C52" s="410">
        <f t="shared" ref="C52:D52" si="9">SUM(C50:C51)</f>
        <v>9.4366452347036806E-3</v>
      </c>
      <c r="D52" s="411">
        <f t="shared" si="9"/>
        <v>3.3965576768276557E-4</v>
      </c>
      <c r="I52" s="346"/>
      <c r="J52" s="345"/>
      <c r="K52" s="345"/>
      <c r="L52" s="345"/>
      <c r="M52" s="345"/>
      <c r="N52" s="345"/>
      <c r="O52" s="339"/>
    </row>
    <row r="53" spans="1:15" x14ac:dyDescent="0.25">
      <c r="A53" s="373"/>
      <c r="B53" s="374"/>
      <c r="C53" s="374"/>
      <c r="D53" s="374"/>
      <c r="I53" s="346"/>
      <c r="J53" s="345"/>
      <c r="K53" s="345"/>
      <c r="L53" s="345"/>
      <c r="M53" s="345"/>
      <c r="N53" s="345"/>
      <c r="O53" s="339"/>
    </row>
    <row r="55" spans="1:15" s="5" customFormat="1" ht="16.5" customHeight="1" x14ac:dyDescent="0.25">
      <c r="A55" s="5" t="s">
        <v>155</v>
      </c>
    </row>
    <row r="56" spans="1:15" ht="5.0999999999999996" customHeight="1" thickBot="1" x14ac:dyDescent="0.3"/>
    <row r="57" spans="1:15" ht="23.25" customHeight="1" x14ac:dyDescent="0.25">
      <c r="A57" s="605" t="s">
        <v>146</v>
      </c>
      <c r="B57" s="183" t="s">
        <v>158</v>
      </c>
      <c r="C57" s="183"/>
      <c r="D57" s="183"/>
      <c r="E57" s="601" t="s">
        <v>127</v>
      </c>
    </row>
    <row r="58" spans="1:15" ht="39.6" x14ac:dyDescent="0.25">
      <c r="A58" s="606"/>
      <c r="B58" s="262" t="s">
        <v>160</v>
      </c>
      <c r="C58" s="262" t="s">
        <v>161</v>
      </c>
      <c r="D58" s="262" t="s">
        <v>162</v>
      </c>
      <c r="E58" s="602"/>
    </row>
    <row r="59" spans="1:15" customFormat="1" ht="18" customHeight="1" x14ac:dyDescent="0.25">
      <c r="A59" s="377" t="s">
        <v>156</v>
      </c>
      <c r="B59" s="382">
        <f>'Va. Peajes transporte'!B90</f>
        <v>562799.38465610531</v>
      </c>
      <c r="C59" s="382">
        <f>'Va. Peajes transporte'!C90</f>
        <v>137199.70963258349</v>
      </c>
      <c r="D59" s="382">
        <f>SUM(B59:C59)</f>
        <v>699999.09428868885</v>
      </c>
      <c r="E59" s="383">
        <f t="shared" ref="E59" si="10">B59/D59</f>
        <v>0.80400016121163642</v>
      </c>
      <c r="F59" s="261"/>
      <c r="G59" s="261"/>
      <c r="I59" s="261"/>
    </row>
    <row r="60" spans="1:15" customFormat="1" ht="18" customHeight="1" x14ac:dyDescent="0.25">
      <c r="A60" s="392" t="s">
        <v>157</v>
      </c>
      <c r="B60" s="502">
        <f>'Vb. Peajes distribución'!B90</f>
        <v>3011686.6186181009</v>
      </c>
      <c r="C60" s="502">
        <f>'Vb. Peajes distribución'!C90</f>
        <v>325116.33505165391</v>
      </c>
      <c r="D60" s="502">
        <f>SUM(B60:C60)</f>
        <v>3336802.9536697548</v>
      </c>
      <c r="E60" s="539">
        <f>B60/D60</f>
        <v>0.90256651664309484</v>
      </c>
      <c r="F60" s="261"/>
      <c r="G60" s="261"/>
      <c r="I60" s="261"/>
    </row>
    <row r="61" spans="1:15" customFormat="1" ht="21.6" customHeight="1" thickBot="1" x14ac:dyDescent="0.3">
      <c r="A61" s="515" t="s">
        <v>4</v>
      </c>
      <c r="B61" s="538">
        <f>SUM(B59:B60)</f>
        <v>3574486.0032742061</v>
      </c>
      <c r="C61" s="538">
        <f t="shared" ref="C61:D61" si="11">SUM(C59:C60)</f>
        <v>462316.04468423739</v>
      </c>
      <c r="D61" s="538">
        <f t="shared" si="11"/>
        <v>4036802.0479584439</v>
      </c>
      <c r="E61" s="540">
        <f>B61/D61</f>
        <v>0.88547468040498845</v>
      </c>
      <c r="F61" s="261"/>
      <c r="G61" s="261"/>
    </row>
    <row r="62" spans="1:15" ht="13.8" thickBot="1" x14ac:dyDescent="0.3"/>
    <row r="63" spans="1:15" ht="23.25" customHeight="1" x14ac:dyDescent="0.25">
      <c r="A63" s="605" t="s">
        <v>146</v>
      </c>
      <c r="B63" s="183" t="s">
        <v>159</v>
      </c>
      <c r="C63" s="184"/>
    </row>
    <row r="64" spans="1:15" ht="39.6" x14ac:dyDescent="0.25">
      <c r="A64" s="606"/>
      <c r="B64" s="262" t="s">
        <v>163</v>
      </c>
      <c r="C64" s="335" t="s">
        <v>164</v>
      </c>
    </row>
    <row r="65" spans="1:18" s="1" customFormat="1" ht="21" customHeight="1" x14ac:dyDescent="0.25">
      <c r="A65" s="377" t="s">
        <v>156</v>
      </c>
      <c r="B65" s="506">
        <f>D59*75%/B59</f>
        <v>0.93283563385079715</v>
      </c>
      <c r="C65" s="507">
        <f>D59*25%/C59</f>
        <v>1.2755112532002881</v>
      </c>
      <c r="D65" s="339"/>
      <c r="E65" s="339"/>
      <c r="F65" s="541"/>
      <c r="G65" s="541"/>
      <c r="I65" s="541"/>
    </row>
    <row r="66" spans="1:18" s="1" customFormat="1" ht="21" customHeight="1" thickBot="1" x14ac:dyDescent="0.3">
      <c r="A66" s="378" t="s">
        <v>157</v>
      </c>
      <c r="B66" s="508">
        <f>D60*75%/B60</f>
        <v>0.83096368652081876</v>
      </c>
      <c r="C66" s="509">
        <f>D60*25%/C60</f>
        <v>2.5658530454488004</v>
      </c>
      <c r="D66" s="339"/>
      <c r="E66" s="339"/>
      <c r="F66" s="541"/>
      <c r="G66" s="541"/>
      <c r="I66" s="541"/>
    </row>
    <row r="67" spans="1:18" ht="13.8" thickBot="1" x14ac:dyDescent="0.3"/>
    <row r="68" spans="1:18" ht="24.9" customHeight="1" x14ac:dyDescent="0.25">
      <c r="A68" s="605" t="s">
        <v>146</v>
      </c>
      <c r="B68" s="183" t="s">
        <v>125</v>
      </c>
      <c r="C68" s="183"/>
      <c r="D68" s="337" t="s">
        <v>165</v>
      </c>
      <c r="E68" s="337"/>
      <c r="F68" s="338"/>
    </row>
    <row r="69" spans="1:18" ht="24.9" customHeight="1" x14ac:dyDescent="0.25">
      <c r="A69" s="606"/>
      <c r="B69" s="185" t="s">
        <v>16</v>
      </c>
      <c r="C69" s="185" t="s">
        <v>17</v>
      </c>
      <c r="D69" s="340" t="s">
        <v>16</v>
      </c>
      <c r="E69" s="340" t="s">
        <v>17</v>
      </c>
      <c r="F69" s="341" t="s">
        <v>18</v>
      </c>
    </row>
    <row r="70" spans="1:18" ht="30" customHeight="1" x14ac:dyDescent="0.25">
      <c r="A70" s="375" t="s">
        <v>2</v>
      </c>
      <c r="B70" s="379">
        <f>'Va. Peajes transporte'!B79*$B$65</f>
        <v>4.1510988221988185</v>
      </c>
      <c r="C70" s="379">
        <f>'Va. Peajes transporte'!C79*$B$65</f>
        <v>8.6261205046477649E-2</v>
      </c>
      <c r="D70" s="543">
        <f>B50*$C$65</f>
        <v>4.7203732610976894E-3</v>
      </c>
      <c r="E70" s="543">
        <f>C50*$C$65</f>
        <v>3.5479975792390493E-3</v>
      </c>
      <c r="F70" s="544">
        <f>D50*$C$65</f>
        <v>1.5536128292539049E-4</v>
      </c>
      <c r="L70" s="346"/>
      <c r="M70" s="345"/>
      <c r="N70" s="345"/>
      <c r="O70" s="345"/>
      <c r="P70" s="345"/>
      <c r="Q70" s="345"/>
      <c r="R70" s="339"/>
    </row>
    <row r="71" spans="1:18" ht="30" customHeight="1" x14ac:dyDescent="0.25">
      <c r="A71" s="375" t="s">
        <v>150</v>
      </c>
      <c r="B71" s="379">
        <f>'Vb. Peajes distribución'!B79*$B$66</f>
        <v>19.318734192755052</v>
      </c>
      <c r="C71" s="379">
        <f>'Vb. Peajes distribución'!C79*$B$66</f>
        <v>0.87486867072078256</v>
      </c>
      <c r="D71" s="543">
        <f>B51*$C$66</f>
        <v>2.2658435915859237E-2</v>
      </c>
      <c r="E71" s="543">
        <f>C51*$C$66</f>
        <v>1.7075796715889987E-2</v>
      </c>
      <c r="F71" s="544">
        <f>D51*$C$66</f>
        <v>5.5897781375484118E-4</v>
      </c>
      <c r="L71" s="346"/>
      <c r="M71" s="345"/>
      <c r="N71" s="345"/>
      <c r="O71" s="345"/>
      <c r="P71" s="345"/>
      <c r="Q71" s="345"/>
      <c r="R71" s="339"/>
    </row>
    <row r="72" spans="1:18" ht="30" customHeight="1" thickBot="1" x14ac:dyDescent="0.3">
      <c r="A72" s="406" t="s">
        <v>154</v>
      </c>
      <c r="B72" s="407">
        <f>SUM(B70:B71)</f>
        <v>23.469833014953871</v>
      </c>
      <c r="C72" s="407">
        <f>SUM(C70:C71)</f>
        <v>0.96112987576726017</v>
      </c>
      <c r="D72" s="545">
        <f>SUM(D70:D71)</f>
        <v>2.7378809176956925E-2</v>
      </c>
      <c r="E72" s="545">
        <f t="shared" ref="E72" si="12">SUM(E70:E71)</f>
        <v>2.0623794295129037E-2</v>
      </c>
      <c r="F72" s="546">
        <f t="shared" ref="F72" si="13">SUM(F70:F71)</f>
        <v>7.1433909668023167E-4</v>
      </c>
      <c r="L72" s="346"/>
      <c r="M72" s="345"/>
      <c r="N72" s="345"/>
      <c r="O72" s="345"/>
      <c r="P72" s="345"/>
      <c r="Q72" s="345"/>
      <c r="R72" s="339"/>
    </row>
    <row r="73" spans="1:18" ht="13.8" thickBot="1" x14ac:dyDescent="0.3"/>
    <row r="74" spans="1:18" ht="22.5" customHeight="1" x14ac:dyDescent="0.25">
      <c r="A74" s="605" t="s">
        <v>146</v>
      </c>
      <c r="B74" s="183" t="s">
        <v>158</v>
      </c>
      <c r="C74" s="183"/>
      <c r="D74" s="183"/>
      <c r="E74" s="601" t="s">
        <v>127</v>
      </c>
    </row>
    <row r="75" spans="1:18" ht="26.4" x14ac:dyDescent="0.25">
      <c r="A75" s="606"/>
      <c r="B75" s="262" t="s">
        <v>98</v>
      </c>
      <c r="C75" s="262" t="s">
        <v>99</v>
      </c>
      <c r="D75" s="262" t="s">
        <v>4</v>
      </c>
      <c r="E75" s="602"/>
    </row>
    <row r="76" spans="1:18" s="339" customFormat="1" ht="24.9" customHeight="1" x14ac:dyDescent="0.25">
      <c r="A76" s="377" t="s">
        <v>156</v>
      </c>
      <c r="B76" s="382">
        <f>B70*'I. Datos de entrada'!$C$115+C70*'I. Datos de entrada'!$H$115</f>
        <v>524999.32071651658</v>
      </c>
      <c r="C76" s="382">
        <f>$B$44*D70+$B$45*E70+$B$46*F70</f>
        <v>174999.77357217221</v>
      </c>
      <c r="D76" s="382">
        <f>SUM(B76:C76)</f>
        <v>699999.09428868885</v>
      </c>
      <c r="E76" s="383">
        <f t="shared" ref="E76" si="14">B76/D76</f>
        <v>0.74999999999999989</v>
      </c>
    </row>
    <row r="77" spans="1:18" s="339" customFormat="1" ht="24.9" customHeight="1" x14ac:dyDescent="0.25">
      <c r="A77" s="377" t="s">
        <v>157</v>
      </c>
      <c r="B77" s="382">
        <f>B71*'I. Datos de entrada'!$C$115+C71*'I. Datos de entrada'!$H$115</f>
        <v>2502602.2152523166</v>
      </c>
      <c r="C77" s="382">
        <f>$B$44*D71+$B$45*E71+$B$46*F71</f>
        <v>834200.7384174387</v>
      </c>
      <c r="D77" s="382">
        <f>SUM(B77:C77)</f>
        <v>3336802.9536697553</v>
      </c>
      <c r="E77" s="383">
        <f>B77/D77</f>
        <v>0.75</v>
      </c>
    </row>
    <row r="78" spans="1:18" s="339" customFormat="1" ht="24.9" customHeight="1" thickBot="1" x14ac:dyDescent="0.3">
      <c r="A78" s="423" t="s">
        <v>4</v>
      </c>
      <c r="B78" s="424">
        <f>SUM(B76:B77)</f>
        <v>3027601.5359688331</v>
      </c>
      <c r="C78" s="424">
        <f t="shared" ref="C78" si="15">SUM(C76:C77)</f>
        <v>1009200.511989611</v>
      </c>
      <c r="D78" s="424">
        <f t="shared" ref="D78" si="16">SUM(D76:D77)</f>
        <v>4036802.0479584439</v>
      </c>
      <c r="E78" s="425">
        <f>B78/D78</f>
        <v>0.75000000000000011</v>
      </c>
    </row>
    <row r="79" spans="1:18" x14ac:dyDescent="0.25">
      <c r="D79" s="461">
        <f>D78-SUM('Va. Peajes transporte'!D90,'Vb. Peajes distribución'!D90)</f>
        <v>0</v>
      </c>
    </row>
  </sheetData>
  <mergeCells count="14"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  <mergeCell ref="A63:A64"/>
    <mergeCell ref="A68:A69"/>
    <mergeCell ref="A74:A75"/>
    <mergeCell ref="E74:E75"/>
    <mergeCell ref="A48:A49"/>
  </mergeCells>
  <pageMargins left="0.7" right="0.7" top="0.75" bottom="0.75" header="0.3" footer="0.3"/>
  <pageSetup paperSize="9" scale="4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B88"/>
  <sheetViews>
    <sheetView showGridLines="0" zoomScaleNormal="100" workbookViewId="0">
      <selection activeCell="AA17" sqref="AA17"/>
    </sheetView>
  </sheetViews>
  <sheetFormatPr baseColWidth="10" defaultRowHeight="13.2" x14ac:dyDescent="0.25"/>
  <cols>
    <col min="2" max="5" width="14.6640625" customWidth="1"/>
    <col min="8" max="8" width="2.88671875" customWidth="1"/>
    <col min="9" max="9" width="12.33203125" bestFit="1" customWidth="1"/>
    <col min="11" max="11" width="13.6640625" bestFit="1" customWidth="1"/>
    <col min="14" max="14" width="11.44140625" customWidth="1"/>
    <col min="15" max="15" width="2.6640625" customWidth="1"/>
    <col min="22" max="22" width="2.33203125" customWidth="1"/>
  </cols>
  <sheetData>
    <row r="1" spans="1:28" s="1" customFormat="1" x14ac:dyDescent="0.25"/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402" customFormat="1" ht="30" customHeight="1" x14ac:dyDescent="0.25">
      <c r="A6" s="402" t="s">
        <v>208</v>
      </c>
    </row>
    <row r="7" spans="1:28" s="402" customFormat="1" ht="6.75" customHeight="1" x14ac:dyDescent="0.25"/>
    <row r="8" spans="1:28" s="5" customFormat="1" ht="16.5" customHeight="1" x14ac:dyDescent="0.25">
      <c r="A8" s="5" t="s">
        <v>132</v>
      </c>
    </row>
    <row r="9" spans="1:28" ht="5.0999999999999996" customHeight="1" thickBot="1" x14ac:dyDescent="0.3"/>
    <row r="10" spans="1:28" ht="24" customHeight="1" x14ac:dyDescent="0.25">
      <c r="A10" s="599" t="s">
        <v>100</v>
      </c>
      <c r="B10" s="183" t="s">
        <v>125</v>
      </c>
      <c r="C10" s="183"/>
      <c r="D10" s="183"/>
      <c r="E10" s="183"/>
      <c r="F10" s="183"/>
      <c r="G10" s="184"/>
      <c r="I10" s="201" t="s">
        <v>126</v>
      </c>
      <c r="J10" s="183"/>
      <c r="K10" s="183"/>
      <c r="L10" s="183"/>
      <c r="M10" s="183"/>
      <c r="N10" s="184"/>
    </row>
    <row r="11" spans="1:28" ht="24" customHeight="1" x14ac:dyDescent="0.25">
      <c r="A11" s="600"/>
      <c r="B11" s="185" t="s">
        <v>16</v>
      </c>
      <c r="C11" s="185" t="s">
        <v>17</v>
      </c>
      <c r="D11" s="185" t="s">
        <v>18</v>
      </c>
      <c r="E11" s="185" t="s">
        <v>19</v>
      </c>
      <c r="F11" s="185" t="s">
        <v>20</v>
      </c>
      <c r="G11" s="186" t="s">
        <v>21</v>
      </c>
      <c r="I11" s="202" t="s">
        <v>16</v>
      </c>
      <c r="J11" s="185" t="s">
        <v>17</v>
      </c>
      <c r="K11" s="185" t="s">
        <v>18</v>
      </c>
      <c r="L11" s="185" t="s">
        <v>19</v>
      </c>
      <c r="M11" s="185" t="s">
        <v>20</v>
      </c>
      <c r="N11" s="186" t="s">
        <v>21</v>
      </c>
    </row>
    <row r="12" spans="1:28" ht="18" customHeight="1" x14ac:dyDescent="0.25">
      <c r="A12" s="245" t="s">
        <v>101</v>
      </c>
      <c r="B12" s="246">
        <f>'VI. Diseño del Peaje 2.0 TD'!B72</f>
        <v>23.469833014953871</v>
      </c>
      <c r="C12" s="246">
        <f>'VI. Diseño del Peaje 2.0 TD'!C72</f>
        <v>0.96112987576726017</v>
      </c>
      <c r="D12" s="497"/>
      <c r="E12" s="497"/>
      <c r="F12" s="497"/>
      <c r="G12" s="498"/>
      <c r="H12" s="1"/>
      <c r="I12" s="429">
        <f>'VI. Diseño del Peaje 2.0 TD'!D72</f>
        <v>2.7378809176956925E-2</v>
      </c>
      <c r="J12" s="430">
        <f>'VI. Diseño del Peaje 2.0 TD'!E72</f>
        <v>2.0623794295129037E-2</v>
      </c>
      <c r="K12" s="430">
        <f>'VI. Diseño del Peaje 2.0 TD'!F72</f>
        <v>7.1433909668023167E-4</v>
      </c>
      <c r="L12" s="499"/>
      <c r="M12" s="499"/>
      <c r="N12" s="500"/>
      <c r="P12" s="319"/>
      <c r="Q12" s="319"/>
      <c r="R12" s="319"/>
      <c r="S12" s="319"/>
      <c r="T12" s="319"/>
      <c r="U12" s="319"/>
      <c r="V12" s="48"/>
      <c r="W12" s="319"/>
      <c r="X12" s="319"/>
      <c r="Y12" s="319"/>
      <c r="Z12" s="319"/>
      <c r="AA12" s="319"/>
      <c r="AB12" s="319"/>
    </row>
    <row r="13" spans="1:28" ht="18" customHeight="1" x14ac:dyDescent="0.25">
      <c r="A13" s="248" t="s">
        <v>102</v>
      </c>
      <c r="B13" s="249">
        <f>'Va. Peajes transporte'!B80+'Vb. Peajes distribución'!B80</f>
        <v>10.646875528799455</v>
      </c>
      <c r="C13" s="249">
        <f>'Va. Peajes transporte'!C80+'Vb. Peajes distribución'!C80</f>
        <v>9.3029560207640767</v>
      </c>
      <c r="D13" s="249">
        <f>'Va. Peajes transporte'!D80+'Vb. Peajes distribución'!D80</f>
        <v>3.7513150355825777</v>
      </c>
      <c r="E13" s="249">
        <f>'Va. Peajes transporte'!E80+'Vb. Peajes distribución'!E80</f>
        <v>2.8521141577148894</v>
      </c>
      <c r="F13" s="249">
        <f>'Va. Peajes transporte'!F80+'Vb. Peajes distribución'!F80</f>
        <v>1.145308255221746</v>
      </c>
      <c r="G13" s="250">
        <f>'Va. Peajes transporte'!G80+'Vb. Peajes distribución'!G80</f>
        <v>1.145308255221746</v>
      </c>
      <c r="H13" s="1"/>
      <c r="I13" s="431">
        <f>'Va. Peajes transporte'!I80+'Vb. Peajes distribución'!I80</f>
        <v>1.848915117461503E-2</v>
      </c>
      <c r="J13" s="432">
        <f>'Va. Peajes transporte'!J80+'Vb. Peajes distribución'!J80</f>
        <v>1.5663450086110475E-2</v>
      </c>
      <c r="K13" s="432">
        <f>'Va. Peajes transporte'!K80+'Vb. Peajes distribución'!K80</f>
        <v>8.5231740280372077E-3</v>
      </c>
      <c r="L13" s="432">
        <f>'Va. Peajes transporte'!L80+'Vb. Peajes distribución'!L80</f>
        <v>5.6240031020356705E-3</v>
      </c>
      <c r="M13" s="432">
        <f>'Va. Peajes transporte'!M80+'Vb. Peajes distribución'!M80</f>
        <v>3.3965576768276557E-4</v>
      </c>
      <c r="N13" s="433">
        <f>'Va. Peajes transporte'!N80+'Vb. Peajes distribución'!N80</f>
        <v>3.3965576768276557E-4</v>
      </c>
      <c r="P13" s="319"/>
      <c r="Q13" s="319"/>
      <c r="R13" s="319"/>
      <c r="S13" s="319"/>
      <c r="T13" s="319"/>
      <c r="U13" s="319"/>
      <c r="V13" s="48"/>
      <c r="W13" s="319"/>
      <c r="X13" s="319"/>
      <c r="Y13" s="319"/>
      <c r="Z13" s="319"/>
      <c r="AA13" s="319"/>
      <c r="AB13" s="319"/>
    </row>
    <row r="14" spans="1:28" ht="18" customHeight="1" x14ac:dyDescent="0.25">
      <c r="A14" s="248" t="s">
        <v>103</v>
      </c>
      <c r="B14" s="249">
        <f>'Va. Peajes transporte'!B81+'Vb. Peajes distribución'!B81</f>
        <v>21.245191842352327</v>
      </c>
      <c r="C14" s="249">
        <f>'Va. Peajes transporte'!C81+'Vb. Peajes distribución'!C81</f>
        <v>21.245191842352327</v>
      </c>
      <c r="D14" s="249">
        <f>'Va. Peajes transporte'!D81+'Vb. Peajes distribución'!D81</f>
        <v>11.530747715814272</v>
      </c>
      <c r="E14" s="249">
        <f>'Va. Peajes transporte'!E81+'Vb. Peajes distribución'!E81</f>
        <v>8.7160479941402755</v>
      </c>
      <c r="F14" s="249">
        <f>'Va. Peajes transporte'!F81+'Vb. Peajes distribución'!F81</f>
        <v>0.56025911597315525</v>
      </c>
      <c r="G14" s="250">
        <f>'Va. Peajes transporte'!G81+'Vb. Peajes distribución'!G81</f>
        <v>0.56025911597315525</v>
      </c>
      <c r="H14" s="1"/>
      <c r="I14" s="431">
        <f>'Va. Peajes transporte'!I81+'Vb. Peajes distribución'!I81</f>
        <v>1.8837240811611845E-2</v>
      </c>
      <c r="J14" s="432">
        <f>'Va. Peajes transporte'!J81+'Vb. Peajes distribución'!J81</f>
        <v>1.5478416641501652E-2</v>
      </c>
      <c r="K14" s="432">
        <f>'Va. Peajes transporte'!K81+'Vb. Peajes distribución'!K81</f>
        <v>9.1100552415560327E-3</v>
      </c>
      <c r="L14" s="432">
        <f>'Va. Peajes transporte'!L81+'Vb. Peajes distribución'!L81</f>
        <v>5.7820029006402452E-3</v>
      </c>
      <c r="M14" s="432">
        <f>'Va. Peajes transporte'!M81+'Vb. Peajes distribución'!M81</f>
        <v>3.2753612557059273E-4</v>
      </c>
      <c r="N14" s="433">
        <f>'Va. Peajes transporte'!N81+'Vb. Peajes distribución'!N81</f>
        <v>3.2753612557059273E-4</v>
      </c>
      <c r="P14" s="319"/>
      <c r="Q14" s="319"/>
      <c r="R14" s="319"/>
      <c r="S14" s="319"/>
      <c r="T14" s="319"/>
      <c r="U14" s="319"/>
      <c r="V14" s="48"/>
      <c r="W14" s="319"/>
      <c r="X14" s="319"/>
      <c r="Y14" s="319"/>
      <c r="Z14" s="319"/>
      <c r="AA14" s="319"/>
      <c r="AB14" s="319"/>
    </row>
    <row r="15" spans="1:28" ht="18" customHeight="1" x14ac:dyDescent="0.25">
      <c r="A15" s="248" t="s">
        <v>104</v>
      </c>
      <c r="B15" s="249">
        <f>'Va. Peajes transporte'!B82+'Vb. Peajes distribución'!B82</f>
        <v>15.272488707397232</v>
      </c>
      <c r="C15" s="249">
        <f>'Va. Peajes transporte'!C82+'Vb. Peajes distribución'!C82</f>
        <v>15.272488707397232</v>
      </c>
      <c r="D15" s="249">
        <f>'Va. Peajes transporte'!D82+'Vb. Peajes distribución'!D82</f>
        <v>7.48460682109061</v>
      </c>
      <c r="E15" s="249">
        <f>'Va. Peajes transporte'!E82+'Vb. Peajes distribución'!E82</f>
        <v>6.6769309539132191</v>
      </c>
      <c r="F15" s="249">
        <f>'Va. Peajes transporte'!F82+'Vb. Peajes distribución'!F82</f>
        <v>0.45900297984556826</v>
      </c>
      <c r="G15" s="250">
        <f>'Va. Peajes transporte'!G82+'Vb. Peajes distribución'!G82</f>
        <v>0.45900297984556826</v>
      </c>
      <c r="H15" s="1"/>
      <c r="I15" s="431">
        <f>'Va. Peajes transporte'!I82+'Vb. Peajes distribución'!I82</f>
        <v>1.0364880916628325E-2</v>
      </c>
      <c r="J15" s="432">
        <f>'Va. Peajes transporte'!J82+'Vb. Peajes distribución'!J82</f>
        <v>8.4316948562284146E-3</v>
      </c>
      <c r="K15" s="432">
        <f>'Va. Peajes transporte'!K82+'Vb. Peajes distribución'!K82</f>
        <v>4.9252538592488414E-3</v>
      </c>
      <c r="L15" s="432">
        <f>'Va. Peajes transporte'!L82+'Vb. Peajes distribución'!L82</f>
        <v>3.1430904872007974E-3</v>
      </c>
      <c r="M15" s="432">
        <f>'Va. Peajes transporte'!M82+'Vb. Peajes distribución'!M82</f>
        <v>1.8074903482568136E-4</v>
      </c>
      <c r="N15" s="433">
        <f>'Va. Peajes transporte'!N82+'Vb. Peajes distribución'!N82</f>
        <v>1.8074903482568136E-4</v>
      </c>
      <c r="P15" s="319"/>
      <c r="Q15" s="319"/>
      <c r="R15" s="319"/>
      <c r="S15" s="319"/>
      <c r="T15" s="319"/>
      <c r="U15" s="319"/>
      <c r="V15" s="48"/>
      <c r="W15" s="319"/>
      <c r="X15" s="319"/>
      <c r="Y15" s="319"/>
      <c r="Z15" s="319"/>
      <c r="AA15" s="319"/>
      <c r="AB15" s="319"/>
    </row>
    <row r="16" spans="1:28" ht="18" customHeight="1" x14ac:dyDescent="0.25">
      <c r="A16" s="248" t="s">
        <v>105</v>
      </c>
      <c r="B16" s="249">
        <f>'Va. Peajes transporte'!B83+'Vb. Peajes distribución'!B83</f>
        <v>11.548231491032848</v>
      </c>
      <c r="C16" s="249">
        <f>'Va. Peajes transporte'!C83+'Vb. Peajes distribución'!C83</f>
        <v>11.548231491032848</v>
      </c>
      <c r="D16" s="249">
        <f>'Va. Peajes transporte'!D83+'Vb. Peajes distribución'!D83</f>
        <v>6.3203617966745034</v>
      </c>
      <c r="E16" s="249">
        <f>'Va. Peajes transporte'!E83+'Vb. Peajes distribución'!E83</f>
        <v>3.6946830741092032</v>
      </c>
      <c r="F16" s="249">
        <f>'Va. Peajes transporte'!F83+'Vb. Peajes distribución'!F83</f>
        <v>0.7083378639151976</v>
      </c>
      <c r="G16" s="250">
        <f>'Va. Peajes transporte'!G83+'Vb. Peajes distribución'!G83</f>
        <v>0.7083378639151976</v>
      </c>
      <c r="H16" s="1"/>
      <c r="I16" s="431">
        <f>'Va. Peajes transporte'!I83+'Vb. Peajes distribución'!I83</f>
        <v>9.646886682132004E-3</v>
      </c>
      <c r="J16" s="432">
        <f>'Va. Peajes transporte'!J83+'Vb. Peajes distribución'!J83</f>
        <v>8.0758010466501374E-3</v>
      </c>
      <c r="K16" s="432">
        <f>'Va. Peajes transporte'!K83+'Vb. Peajes distribución'!K83</f>
        <v>4.9374373469044499E-3</v>
      </c>
      <c r="L16" s="432">
        <f>'Va. Peajes transporte'!L83+'Vb. Peajes distribución'!L83</f>
        <v>2.2894538420879058E-3</v>
      </c>
      <c r="M16" s="432">
        <f>'Va. Peajes transporte'!M83+'Vb. Peajes distribución'!M83</f>
        <v>2.6389833925158704E-4</v>
      </c>
      <c r="N16" s="433">
        <f>'Va. Peajes transporte'!N83+'Vb. Peajes distribución'!N83</f>
        <v>2.6389833925158704E-4</v>
      </c>
      <c r="P16" s="319"/>
      <c r="Q16" s="319"/>
      <c r="R16" s="319"/>
      <c r="S16" s="319"/>
      <c r="T16" s="319"/>
      <c r="U16" s="319"/>
      <c r="V16" s="48"/>
      <c r="W16" s="319"/>
      <c r="X16" s="319"/>
      <c r="Y16" s="319"/>
      <c r="Z16" s="319"/>
      <c r="AA16" s="319"/>
      <c r="AB16" s="319"/>
    </row>
    <row r="17" spans="1:28" ht="18" customHeight="1" thickBot="1" x14ac:dyDescent="0.3">
      <c r="A17" s="251" t="s">
        <v>106</v>
      </c>
      <c r="B17" s="252">
        <f>'Va. Peajes transporte'!B84+'Vb. Peajes distribución'!B84</f>
        <v>12.051156287572754</v>
      </c>
      <c r="C17" s="252">
        <f>'Va. Peajes transporte'!C84+'Vb. Peajes distribución'!C84</f>
        <v>9.2365394095008799</v>
      </c>
      <c r="D17" s="252">
        <f>'Va. Peajes transporte'!D84+'Vb. Peajes distribución'!D84</f>
        <v>4.4425750066108121</v>
      </c>
      <c r="E17" s="252">
        <f>'Va. Peajes transporte'!E84+'Vb. Peajes distribución'!E84</f>
        <v>3.3697510449476056</v>
      </c>
      <c r="F17" s="252">
        <f>'Va. Peajes transporte'!F84+'Vb. Peajes distribución'!F84</f>
        <v>0.62845214748325706</v>
      </c>
      <c r="G17" s="253">
        <f>'Va. Peajes transporte'!G84+'Vb. Peajes distribución'!G84</f>
        <v>0.62845214748325706</v>
      </c>
      <c r="H17" s="1"/>
      <c r="I17" s="434">
        <f>'Va. Peajes transporte'!I84+'Vb. Peajes distribución'!I84</f>
        <v>8.7753756896910302E-3</v>
      </c>
      <c r="J17" s="435">
        <f>'Va. Peajes transporte'!J84+'Vb. Peajes distribución'!J84</f>
        <v>6.982850600188815E-3</v>
      </c>
      <c r="K17" s="435">
        <f>'Va. Peajes transporte'!K84+'Vb. Peajes distribución'!K84</f>
        <v>4.0311796492987885E-3</v>
      </c>
      <c r="L17" s="435">
        <f>'Va. Peajes transporte'!L84+'Vb. Peajes distribución'!L84</f>
        <v>2.9955592155410313E-3</v>
      </c>
      <c r="M17" s="435">
        <f>'Va. Peajes transporte'!M84+'Vb. Peajes distribución'!M84</f>
        <v>1.7474245925915827E-4</v>
      </c>
      <c r="N17" s="436">
        <f>'Va. Peajes transporte'!N84+'Vb. Peajes distribución'!N84</f>
        <v>1.7474245925915827E-4</v>
      </c>
      <c r="P17" s="319"/>
      <c r="Q17" s="319"/>
      <c r="R17" s="319"/>
      <c r="S17" s="319"/>
      <c r="T17" s="319"/>
      <c r="U17" s="319"/>
      <c r="V17" s="48"/>
      <c r="W17" s="319"/>
      <c r="X17" s="319"/>
      <c r="Y17" s="319"/>
      <c r="Z17" s="319"/>
      <c r="AA17" s="319"/>
      <c r="AB17" s="319"/>
    </row>
    <row r="18" spans="1:28" x14ac:dyDescent="0.25">
      <c r="B18" s="319"/>
      <c r="C18" s="319"/>
      <c r="D18" s="316"/>
      <c r="E18" s="316"/>
    </row>
    <row r="19" spans="1:28" s="5" customFormat="1" ht="16.5" customHeight="1" x14ac:dyDescent="0.25">
      <c r="A19" s="5" t="s">
        <v>197</v>
      </c>
    </row>
    <row r="20" spans="1:28" ht="5.0999999999999996" customHeight="1" thickBot="1" x14ac:dyDescent="0.3">
      <c r="A20" s="213"/>
      <c r="B20" s="214"/>
      <c r="C20" s="48"/>
    </row>
    <row r="21" spans="1:28" ht="24" customHeight="1" x14ac:dyDescent="0.25">
      <c r="A21" s="599" t="s">
        <v>56</v>
      </c>
      <c r="B21" s="183" t="s">
        <v>98</v>
      </c>
      <c r="C21" s="183"/>
      <c r="D21" s="183"/>
      <c r="E21" s="183"/>
      <c r="F21" s="183"/>
      <c r="G21" s="184"/>
      <c r="I21" s="201" t="s">
        <v>99</v>
      </c>
      <c r="J21" s="183"/>
      <c r="K21" s="183"/>
      <c r="L21" s="183"/>
      <c r="M21" s="183"/>
      <c r="N21" s="184"/>
    </row>
    <row r="22" spans="1:28" ht="24" customHeight="1" x14ac:dyDescent="0.25">
      <c r="A22" s="600"/>
      <c r="B22" s="185" t="s">
        <v>16</v>
      </c>
      <c r="C22" s="185" t="s">
        <v>17</v>
      </c>
      <c r="D22" s="185" t="s">
        <v>18</v>
      </c>
      <c r="E22" s="185" t="s">
        <v>19</v>
      </c>
      <c r="F22" s="185" t="s">
        <v>20</v>
      </c>
      <c r="G22" s="186" t="s">
        <v>21</v>
      </c>
      <c r="I22" s="202" t="s">
        <v>16</v>
      </c>
      <c r="J22" s="185" t="s">
        <v>17</v>
      </c>
      <c r="K22" s="185" t="s">
        <v>18</v>
      </c>
      <c r="L22" s="185" t="s">
        <v>19</v>
      </c>
      <c r="M22" s="185" t="s">
        <v>20</v>
      </c>
      <c r="N22" s="186" t="s">
        <v>21</v>
      </c>
    </row>
    <row r="23" spans="1:28" ht="15" customHeight="1" x14ac:dyDescent="0.25">
      <c r="A23" s="245" t="s">
        <v>101</v>
      </c>
      <c r="B23" s="215">
        <f>B12/$C$12</f>
        <v>24.419002682876904</v>
      </c>
      <c r="C23" s="215">
        <f>C12/$C$12</f>
        <v>1</v>
      </c>
      <c r="D23" s="215"/>
      <c r="E23" s="215"/>
      <c r="F23" s="215"/>
      <c r="G23" s="218"/>
      <c r="I23" s="217">
        <f>I12/$K$12</f>
        <v>38.32746843088281</v>
      </c>
      <c r="J23" s="215">
        <f t="shared" ref="J23:K23" si="0">J12/$K$12</f>
        <v>28.871154317290738</v>
      </c>
      <c r="K23" s="215">
        <f t="shared" si="0"/>
        <v>1</v>
      </c>
      <c r="L23" s="215"/>
      <c r="M23" s="215"/>
      <c r="N23" s="218"/>
      <c r="P23" s="319"/>
      <c r="Q23" s="319"/>
      <c r="R23" s="319"/>
      <c r="S23" s="319"/>
      <c r="T23" s="319"/>
      <c r="U23" s="319"/>
    </row>
    <row r="24" spans="1:28" ht="15" customHeight="1" x14ac:dyDescent="0.25">
      <c r="A24" s="248" t="s">
        <v>102</v>
      </c>
      <c r="B24" s="216">
        <f t="shared" ref="B24:G28" si="1">B13/$G13</f>
        <v>9.2960785712123304</v>
      </c>
      <c r="C24" s="216">
        <f t="shared" si="1"/>
        <v>8.1226656477411918</v>
      </c>
      <c r="D24" s="216">
        <f t="shared" si="1"/>
        <v>3.275375881103971</v>
      </c>
      <c r="E24" s="216">
        <f t="shared" si="1"/>
        <v>2.4902589715139043</v>
      </c>
      <c r="F24" s="216">
        <f t="shared" si="1"/>
        <v>1</v>
      </c>
      <c r="G24" s="220">
        <f t="shared" si="1"/>
        <v>1</v>
      </c>
      <c r="I24" s="219">
        <f t="shared" ref="I24:N28" si="2">I13/$N13</f>
        <v>54.434968970948482</v>
      </c>
      <c r="J24" s="216">
        <f t="shared" si="2"/>
        <v>46.11566054941823</v>
      </c>
      <c r="K24" s="216">
        <f t="shared" si="2"/>
        <v>25.093564835318062</v>
      </c>
      <c r="L24" s="216">
        <f t="shared" si="2"/>
        <v>16.557949657102313</v>
      </c>
      <c r="M24" s="216">
        <f t="shared" si="2"/>
        <v>1</v>
      </c>
      <c r="N24" s="220">
        <f t="shared" si="2"/>
        <v>1</v>
      </c>
      <c r="P24" s="319"/>
      <c r="Q24" s="319"/>
      <c r="R24" s="319"/>
      <c r="S24" s="319"/>
      <c r="T24" s="319"/>
      <c r="U24" s="319"/>
    </row>
    <row r="25" spans="1:28" ht="15" customHeight="1" x14ac:dyDescent="0.25">
      <c r="A25" s="248" t="s">
        <v>103</v>
      </c>
      <c r="B25" s="216">
        <f t="shared" si="1"/>
        <v>37.920296585357633</v>
      </c>
      <c r="C25" s="216">
        <f t="shared" si="1"/>
        <v>37.920296585357633</v>
      </c>
      <c r="D25" s="216">
        <f t="shared" si="1"/>
        <v>20.581097901076841</v>
      </c>
      <c r="E25" s="216">
        <f t="shared" si="1"/>
        <v>15.557173003781886</v>
      </c>
      <c r="F25" s="216">
        <f t="shared" si="1"/>
        <v>1</v>
      </c>
      <c r="G25" s="220">
        <f t="shared" si="1"/>
        <v>1</v>
      </c>
      <c r="I25" s="219">
        <f t="shared" si="2"/>
        <v>57.511948579094735</v>
      </c>
      <c r="J25" s="216">
        <f t="shared" si="2"/>
        <v>47.257128093999029</v>
      </c>
      <c r="K25" s="216">
        <f t="shared" si="2"/>
        <v>27.813894499990273</v>
      </c>
      <c r="L25" s="216">
        <f t="shared" si="2"/>
        <v>17.653023435407494</v>
      </c>
      <c r="M25" s="216">
        <f t="shared" si="2"/>
        <v>1</v>
      </c>
      <c r="N25" s="220">
        <f t="shared" si="2"/>
        <v>1</v>
      </c>
      <c r="P25" s="319"/>
      <c r="Q25" s="319"/>
      <c r="R25" s="319"/>
      <c r="S25" s="319"/>
      <c r="T25" s="319"/>
      <c r="U25" s="319"/>
    </row>
    <row r="26" spans="1:28" ht="15" customHeight="1" x14ac:dyDescent="0.25">
      <c r="A26" s="248" t="s">
        <v>104</v>
      </c>
      <c r="B26" s="216">
        <f t="shared" si="1"/>
        <v>33.273179865925201</v>
      </c>
      <c r="C26" s="216">
        <f t="shared" si="1"/>
        <v>33.273179865925201</v>
      </c>
      <c r="D26" s="216">
        <f t="shared" si="1"/>
        <v>16.306227082902183</v>
      </c>
      <c r="E26" s="216">
        <f t="shared" si="1"/>
        <v>14.546596094342732</v>
      </c>
      <c r="F26" s="216">
        <f t="shared" si="1"/>
        <v>1</v>
      </c>
      <c r="G26" s="220">
        <f t="shared" si="1"/>
        <v>1</v>
      </c>
      <c r="I26" s="219">
        <f t="shared" si="2"/>
        <v>57.344045718553694</v>
      </c>
      <c r="J26" s="216">
        <f t="shared" si="2"/>
        <v>46.648630043087863</v>
      </c>
      <c r="K26" s="216">
        <f t="shared" si="2"/>
        <v>27.24912951263542</v>
      </c>
      <c r="L26" s="216">
        <f t="shared" si="2"/>
        <v>17.389251844315893</v>
      </c>
      <c r="M26" s="216">
        <f t="shared" si="2"/>
        <v>1</v>
      </c>
      <c r="N26" s="220">
        <f t="shared" si="2"/>
        <v>1</v>
      </c>
      <c r="P26" s="319"/>
      <c r="Q26" s="319"/>
      <c r="R26" s="319"/>
      <c r="S26" s="319"/>
      <c r="T26" s="319"/>
      <c r="U26" s="319"/>
    </row>
    <row r="27" spans="1:28" ht="15" customHeight="1" x14ac:dyDescent="0.25">
      <c r="A27" s="248" t="s">
        <v>105</v>
      </c>
      <c r="B27" s="216">
        <f t="shared" si="1"/>
        <v>16.303281356727535</v>
      </c>
      <c r="C27" s="216">
        <f t="shared" si="1"/>
        <v>16.303281356727535</v>
      </c>
      <c r="D27" s="216">
        <f t="shared" si="1"/>
        <v>8.9228066416497231</v>
      </c>
      <c r="E27" s="216">
        <f t="shared" si="1"/>
        <v>5.2159898013746888</v>
      </c>
      <c r="F27" s="216">
        <f t="shared" si="1"/>
        <v>1</v>
      </c>
      <c r="G27" s="220">
        <f t="shared" si="1"/>
        <v>1</v>
      </c>
      <c r="I27" s="219">
        <f t="shared" si="2"/>
        <v>36.555314101219714</v>
      </c>
      <c r="J27" s="216">
        <f t="shared" si="2"/>
        <v>30.60193963157565</v>
      </c>
      <c r="K27" s="216">
        <f t="shared" si="2"/>
        <v>18.709618866518717</v>
      </c>
      <c r="L27" s="216">
        <f t="shared" si="2"/>
        <v>8.6755143991461754</v>
      </c>
      <c r="M27" s="216">
        <f t="shared" si="2"/>
        <v>1</v>
      </c>
      <c r="N27" s="220">
        <f t="shared" si="2"/>
        <v>1</v>
      </c>
      <c r="P27" s="319"/>
      <c r="Q27" s="319"/>
      <c r="R27" s="319"/>
      <c r="S27" s="319"/>
      <c r="T27" s="319"/>
      <c r="U27" s="319"/>
    </row>
    <row r="28" spans="1:28" ht="15" customHeight="1" thickBot="1" x14ac:dyDescent="0.3">
      <c r="A28" s="251" t="s">
        <v>106</v>
      </c>
      <c r="B28" s="222">
        <f t="shared" si="1"/>
        <v>19.175933021843665</v>
      </c>
      <c r="C28" s="222">
        <f t="shared" si="1"/>
        <v>14.697283550529924</v>
      </c>
      <c r="D28" s="222">
        <f t="shared" si="1"/>
        <v>7.06907443057018</v>
      </c>
      <c r="E28" s="222">
        <f t="shared" si="1"/>
        <v>5.3619850905790418</v>
      </c>
      <c r="F28" s="222">
        <f t="shared" si="1"/>
        <v>1</v>
      </c>
      <c r="G28" s="223">
        <f t="shared" si="1"/>
        <v>1</v>
      </c>
      <c r="I28" s="221">
        <f t="shared" si="2"/>
        <v>50.218909170074028</v>
      </c>
      <c r="J28" s="222">
        <f t="shared" si="2"/>
        <v>39.960812213548166</v>
      </c>
      <c r="K28" s="222">
        <f t="shared" si="2"/>
        <v>23.069262424195362</v>
      </c>
      <c r="L28" s="222">
        <f t="shared" si="2"/>
        <v>17.142709495111067</v>
      </c>
      <c r="M28" s="222">
        <f t="shared" si="2"/>
        <v>1</v>
      </c>
      <c r="N28" s="223">
        <f t="shared" si="2"/>
        <v>1</v>
      </c>
      <c r="P28" s="319"/>
      <c r="Q28" s="319"/>
      <c r="R28" s="319"/>
      <c r="S28" s="319"/>
      <c r="T28" s="319"/>
      <c r="U28" s="319"/>
    </row>
    <row r="50" spans="1:14" s="5" customFormat="1" ht="16.5" customHeight="1" x14ac:dyDescent="0.25">
      <c r="A50" s="5" t="s">
        <v>117</v>
      </c>
    </row>
    <row r="51" spans="1:14" ht="5.0999999999999996" customHeight="1" thickBot="1" x14ac:dyDescent="0.3">
      <c r="A51" s="213"/>
      <c r="B51" s="214"/>
      <c r="C51" s="48"/>
    </row>
    <row r="52" spans="1:14" ht="18" customHeight="1" x14ac:dyDescent="0.25">
      <c r="A52" s="599" t="s">
        <v>56</v>
      </c>
      <c r="B52" s="183" t="s">
        <v>98</v>
      </c>
      <c r="C52" s="183"/>
      <c r="D52" s="183"/>
      <c r="E52" s="183"/>
      <c r="F52" s="183"/>
      <c r="G52" s="184"/>
      <c r="I52" s="201" t="s">
        <v>99</v>
      </c>
      <c r="J52" s="183"/>
      <c r="K52" s="183"/>
      <c r="L52" s="183"/>
      <c r="M52" s="183"/>
      <c r="N52" s="184"/>
    </row>
    <row r="53" spans="1:14" ht="18" customHeight="1" x14ac:dyDescent="0.25">
      <c r="A53" s="600"/>
      <c r="B53" s="185" t="s">
        <v>16</v>
      </c>
      <c r="C53" s="185" t="s">
        <v>17</v>
      </c>
      <c r="D53" s="185" t="s">
        <v>18</v>
      </c>
      <c r="E53" s="185" t="s">
        <v>19</v>
      </c>
      <c r="F53" s="185" t="s">
        <v>20</v>
      </c>
      <c r="G53" s="186" t="s">
        <v>21</v>
      </c>
      <c r="I53" s="202" t="s">
        <v>16</v>
      </c>
      <c r="J53" s="185" t="s">
        <v>17</v>
      </c>
      <c r="K53" s="185" t="s">
        <v>18</v>
      </c>
      <c r="L53" s="185" t="s">
        <v>19</v>
      </c>
      <c r="M53" s="185" t="s">
        <v>20</v>
      </c>
      <c r="N53" s="186" t="s">
        <v>21</v>
      </c>
    </row>
    <row r="54" spans="1:14" ht="18" customHeight="1" x14ac:dyDescent="0.25">
      <c r="A54" s="189" t="s">
        <v>11</v>
      </c>
      <c r="B54" s="215">
        <f t="shared" ref="B54:G58" si="3">B13/B$17</f>
        <v>0.88347335929736437</v>
      </c>
      <c r="C54" s="215">
        <f t="shared" si="3"/>
        <v>1.0071906379996474</v>
      </c>
      <c r="D54" s="215">
        <f t="shared" si="3"/>
        <v>0.84440105794508835</v>
      </c>
      <c r="E54" s="215">
        <f t="shared" si="3"/>
        <v>0.84638720180565608</v>
      </c>
      <c r="F54" s="215">
        <f t="shared" si="3"/>
        <v>1.8224271486831998</v>
      </c>
      <c r="G54" s="218">
        <f t="shared" si="3"/>
        <v>1.8224271486831998</v>
      </c>
      <c r="I54" s="217">
        <f t="shared" ref="I54:N58" si="4">I13/I$17</f>
        <v>2.1069355693039289</v>
      </c>
      <c r="J54" s="215">
        <f t="shared" si="4"/>
        <v>2.2431312057123116</v>
      </c>
      <c r="K54" s="215">
        <f t="shared" si="4"/>
        <v>2.1143126254667881</v>
      </c>
      <c r="L54" s="215">
        <f t="shared" si="4"/>
        <v>1.8774468128882951</v>
      </c>
      <c r="M54" s="215">
        <f t="shared" si="4"/>
        <v>1.9437506437918819</v>
      </c>
      <c r="N54" s="218">
        <f t="shared" si="4"/>
        <v>1.9437506437918819</v>
      </c>
    </row>
    <row r="55" spans="1:14" ht="18" customHeight="1" x14ac:dyDescent="0.25">
      <c r="A55" s="192" t="s">
        <v>12</v>
      </c>
      <c r="B55" s="216">
        <f t="shared" si="3"/>
        <v>1.7629172948541489</v>
      </c>
      <c r="C55" s="216">
        <f t="shared" si="3"/>
        <v>2.3001246354775597</v>
      </c>
      <c r="D55" s="216">
        <f t="shared" si="3"/>
        <v>2.595509968578098</v>
      </c>
      <c r="E55" s="216">
        <f t="shared" si="3"/>
        <v>2.5865554688998684</v>
      </c>
      <c r="F55" s="216">
        <f t="shared" si="3"/>
        <v>0.89149049488780918</v>
      </c>
      <c r="G55" s="220">
        <f t="shared" si="3"/>
        <v>0.89149049488780918</v>
      </c>
      <c r="I55" s="219">
        <f t="shared" si="4"/>
        <v>2.1466022057313285</v>
      </c>
      <c r="J55" s="216">
        <f t="shared" si="4"/>
        <v>2.2166329379985759</v>
      </c>
      <c r="K55" s="216">
        <f t="shared" si="4"/>
        <v>2.2598981028148173</v>
      </c>
      <c r="L55" s="216">
        <f t="shared" si="4"/>
        <v>1.9301914883348255</v>
      </c>
      <c r="M55" s="216">
        <f t="shared" si="4"/>
        <v>1.8743934757426537</v>
      </c>
      <c r="N55" s="220">
        <f t="shared" si="4"/>
        <v>1.8743934757426537</v>
      </c>
    </row>
    <row r="56" spans="1:14" ht="18" customHeight="1" x14ac:dyDescent="0.25">
      <c r="A56" s="192" t="s">
        <v>13</v>
      </c>
      <c r="B56" s="216">
        <f t="shared" si="3"/>
        <v>1.2673048413741295</v>
      </c>
      <c r="C56" s="216">
        <f t="shared" si="3"/>
        <v>1.6534860114046241</v>
      </c>
      <c r="D56" s="216">
        <f t="shared" si="3"/>
        <v>1.6847451781800142</v>
      </c>
      <c r="E56" s="216">
        <f t="shared" si="3"/>
        <v>1.9814315256090484</v>
      </c>
      <c r="F56" s="216">
        <f t="shared" si="3"/>
        <v>0.73037061243839063</v>
      </c>
      <c r="G56" s="220">
        <f t="shared" si="3"/>
        <v>0.73037061243839063</v>
      </c>
      <c r="I56" s="219">
        <f t="shared" si="4"/>
        <v>1.1811324418628122</v>
      </c>
      <c r="J56" s="216">
        <f t="shared" si="4"/>
        <v>1.2074860739538698</v>
      </c>
      <c r="K56" s="216">
        <f t="shared" si="4"/>
        <v>1.2217897210573521</v>
      </c>
      <c r="L56" s="216">
        <f t="shared" si="4"/>
        <v>1.0492499934217192</v>
      </c>
      <c r="M56" s="216">
        <f t="shared" si="4"/>
        <v>1.0343738756567162</v>
      </c>
      <c r="N56" s="220">
        <f t="shared" si="4"/>
        <v>1.0343738756567162</v>
      </c>
    </row>
    <row r="57" spans="1:14" ht="18" customHeight="1" x14ac:dyDescent="0.25">
      <c r="A57" s="192" t="s">
        <v>14</v>
      </c>
      <c r="B57" s="216">
        <f t="shared" si="3"/>
        <v>0.95826750690649276</v>
      </c>
      <c r="C57" s="216">
        <f t="shared" si="3"/>
        <v>1.2502768600926573</v>
      </c>
      <c r="D57" s="216">
        <f t="shared" si="3"/>
        <v>1.4226798168335784</v>
      </c>
      <c r="E57" s="216">
        <f t="shared" si="3"/>
        <v>1.0964261231252619</v>
      </c>
      <c r="F57" s="216">
        <f t="shared" si="3"/>
        <v>1.1271150345366094</v>
      </c>
      <c r="G57" s="220">
        <f t="shared" si="3"/>
        <v>1.1271150345366094</v>
      </c>
      <c r="I57" s="219">
        <f t="shared" si="4"/>
        <v>1.0993132400547581</v>
      </c>
      <c r="J57" s="216">
        <f t="shared" si="4"/>
        <v>1.1565192367758477</v>
      </c>
      <c r="K57" s="216">
        <f t="shared" si="4"/>
        <v>1.2248120343044751</v>
      </c>
      <c r="L57" s="216">
        <f t="shared" si="4"/>
        <v>0.76428261882127579</v>
      </c>
      <c r="M57" s="216">
        <f t="shared" si="4"/>
        <v>1.5102130321984473</v>
      </c>
      <c r="N57" s="220">
        <f t="shared" si="4"/>
        <v>1.5102130321984473</v>
      </c>
    </row>
    <row r="58" spans="1:14" ht="18" customHeight="1" thickBot="1" x14ac:dyDescent="0.3">
      <c r="A58" s="297" t="s">
        <v>15</v>
      </c>
      <c r="B58" s="309">
        <f t="shared" si="3"/>
        <v>1</v>
      </c>
      <c r="C58" s="309">
        <f t="shared" si="3"/>
        <v>1</v>
      </c>
      <c r="D58" s="309">
        <f t="shared" si="3"/>
        <v>1</v>
      </c>
      <c r="E58" s="309">
        <f t="shared" si="3"/>
        <v>1</v>
      </c>
      <c r="F58" s="309">
        <f t="shared" si="3"/>
        <v>1</v>
      </c>
      <c r="G58" s="310">
        <f t="shared" si="3"/>
        <v>1</v>
      </c>
      <c r="I58" s="311">
        <f t="shared" si="4"/>
        <v>1</v>
      </c>
      <c r="J58" s="309">
        <f t="shared" si="4"/>
        <v>1</v>
      </c>
      <c r="K58" s="309">
        <f t="shared" si="4"/>
        <v>1</v>
      </c>
      <c r="L58" s="309">
        <f t="shared" si="4"/>
        <v>1</v>
      </c>
      <c r="M58" s="309">
        <f t="shared" si="4"/>
        <v>1</v>
      </c>
      <c r="N58" s="310">
        <f t="shared" si="4"/>
        <v>1</v>
      </c>
    </row>
    <row r="60" spans="1:14" s="5" customFormat="1" ht="16.5" customHeight="1" x14ac:dyDescent="0.25">
      <c r="A60" s="5" t="s">
        <v>137</v>
      </c>
    </row>
    <row r="62" spans="1:14" s="426" customFormat="1" ht="16.5" customHeight="1" x14ac:dyDescent="0.25">
      <c r="A62" s="426" t="s">
        <v>138</v>
      </c>
    </row>
    <row r="63" spans="1:14" ht="5.25" customHeight="1" thickBot="1" x14ac:dyDescent="0.3"/>
    <row r="64" spans="1:14" ht="22.5" customHeight="1" x14ac:dyDescent="0.25">
      <c r="A64" s="599" t="s">
        <v>100</v>
      </c>
      <c r="B64" s="183" t="s">
        <v>133</v>
      </c>
      <c r="C64" s="183"/>
      <c r="D64" s="183"/>
      <c r="E64" s="601" t="s">
        <v>127</v>
      </c>
    </row>
    <row r="65" spans="1:10" ht="26.4" x14ac:dyDescent="0.25">
      <c r="A65" s="600"/>
      <c r="B65" s="262" t="s">
        <v>98</v>
      </c>
      <c r="C65" s="262" t="s">
        <v>99</v>
      </c>
      <c r="D65" s="262" t="s">
        <v>4</v>
      </c>
      <c r="E65" s="602"/>
    </row>
    <row r="66" spans="1:10" ht="18" customHeight="1" x14ac:dyDescent="0.25">
      <c r="A66" s="245" t="s">
        <v>101</v>
      </c>
      <c r="B66" s="263">
        <f>'VI. Diseño del Peaje 2.0 TD'!B78</f>
        <v>3027601.5359688331</v>
      </c>
      <c r="C66" s="263">
        <f>'VI. Diseño del Peaje 2.0 TD'!C78</f>
        <v>1009200.511989611</v>
      </c>
      <c r="D66" s="264">
        <f>SUM(B66:C66)</f>
        <v>4036802.0479584439</v>
      </c>
      <c r="E66" s="267">
        <f>B66/D66</f>
        <v>0.75000000000000011</v>
      </c>
      <c r="G66" s="48"/>
      <c r="I66" s="48"/>
      <c r="J66" s="261"/>
    </row>
    <row r="67" spans="1:10" ht="18" customHeight="1" x14ac:dyDescent="0.25">
      <c r="A67" s="248" t="s">
        <v>102</v>
      </c>
      <c r="B67" s="265">
        <f>'Va. Peajes transporte'!B91+'Vb. Peajes distribución'!B91</f>
        <v>579660.57115012733</v>
      </c>
      <c r="C67" s="265">
        <f>'Va. Peajes transporte'!C91+'Vb. Peajes distribución'!C91</f>
        <v>219816.32998916734</v>
      </c>
      <c r="D67" s="266">
        <f t="shared" ref="D67:D71" si="5">SUM(B67:C67)</f>
        <v>799476.90113929473</v>
      </c>
      <c r="E67" s="268">
        <f t="shared" ref="E67:E71" si="6">B67/D67</f>
        <v>0.72504980484624626</v>
      </c>
      <c r="G67" s="48"/>
      <c r="I67" s="48"/>
    </row>
    <row r="68" spans="1:10" ht="18" customHeight="1" x14ac:dyDescent="0.25">
      <c r="A68" s="248" t="s">
        <v>103</v>
      </c>
      <c r="B68" s="265">
        <f>'Va. Peajes transporte'!B92+'Vb. Peajes distribución'!B92</f>
        <v>1134716.8124646179</v>
      </c>
      <c r="C68" s="265">
        <f>'Va. Peajes transporte'!C92+'Vb. Peajes distribución'!C92</f>
        <v>394742.90299326321</v>
      </c>
      <c r="D68" s="266">
        <f t="shared" si="5"/>
        <v>1529459.7154578811</v>
      </c>
      <c r="E68" s="268">
        <f t="shared" si="6"/>
        <v>0.74190696295973557</v>
      </c>
      <c r="G68" s="48"/>
      <c r="I68" s="48"/>
    </row>
    <row r="69" spans="1:10" ht="18" customHeight="1" x14ac:dyDescent="0.25">
      <c r="A69" s="248" t="s">
        <v>104</v>
      </c>
      <c r="B69" s="265">
        <f>'Va. Peajes transporte'!B93+'Vb. Peajes distribución'!B93</f>
        <v>187883.79663966669</v>
      </c>
      <c r="C69" s="265">
        <f>'Va. Peajes transporte'!C93+'Vb. Peajes distribución'!C93</f>
        <v>67756.204975642584</v>
      </c>
      <c r="D69" s="266">
        <f t="shared" si="5"/>
        <v>255640.00161530927</v>
      </c>
      <c r="E69" s="268">
        <f t="shared" si="6"/>
        <v>0.73495460590082806</v>
      </c>
      <c r="G69" s="48"/>
      <c r="I69" s="48"/>
    </row>
    <row r="70" spans="1:10" ht="18" customHeight="1" x14ac:dyDescent="0.25">
      <c r="A70" s="248" t="s">
        <v>105</v>
      </c>
      <c r="B70" s="265">
        <f>'Va. Peajes transporte'!B94+'Vb. Peajes distribución'!B94</f>
        <v>64961.114900622502</v>
      </c>
      <c r="C70" s="265">
        <f>'Va. Peajes transporte'!C94+'Vb. Peajes distribución'!C94</f>
        <v>25624.167487618652</v>
      </c>
      <c r="D70" s="266">
        <f t="shared" si="5"/>
        <v>90585.282388241147</v>
      </c>
      <c r="E70" s="268">
        <f t="shared" si="6"/>
        <v>0.7171265926202498</v>
      </c>
      <c r="G70" s="48"/>
      <c r="I70" s="48"/>
    </row>
    <row r="71" spans="1:10" ht="18" customHeight="1" thickBot="1" x14ac:dyDescent="0.3">
      <c r="A71" s="251" t="s">
        <v>106</v>
      </c>
      <c r="B71" s="269">
        <f>'Va. Peajes transporte'!B95+'Vb. Peajes distribución'!B95</f>
        <v>103279.4644482744</v>
      </c>
      <c r="C71" s="269">
        <f>'Va. Peajes transporte'!C95+'Vb. Peajes distribución'!C95</f>
        <v>43621.389958191801</v>
      </c>
      <c r="D71" s="270">
        <f t="shared" si="5"/>
        <v>146900.85440646621</v>
      </c>
      <c r="E71" s="271">
        <f t="shared" si="6"/>
        <v>0.70305557354013792</v>
      </c>
      <c r="G71" s="48"/>
      <c r="I71" s="48"/>
    </row>
    <row r="72" spans="1:10" ht="7.5" customHeight="1" thickBot="1" x14ac:dyDescent="0.3">
      <c r="G72" s="48"/>
    </row>
    <row r="73" spans="1:10" s="1" customFormat="1" ht="18" customHeight="1" thickBot="1" x14ac:dyDescent="0.3">
      <c r="A73" s="68" t="s">
        <v>4</v>
      </c>
      <c r="B73" s="415">
        <f>SUM(B66:B71)</f>
        <v>5098103.2955721421</v>
      </c>
      <c r="C73" s="415">
        <f>SUM(C66:C71)</f>
        <v>1760761.5073934947</v>
      </c>
      <c r="D73" s="416">
        <f>SUM(B73:C73)</f>
        <v>6858864.8029656373</v>
      </c>
      <c r="E73" s="417">
        <f>B73/D73</f>
        <v>0.74328674525962712</v>
      </c>
      <c r="G73" s="48"/>
    </row>
    <row r="74" spans="1:10" s="1" customFormat="1" ht="18" customHeight="1" x14ac:dyDescent="0.25">
      <c r="A74" s="293"/>
      <c r="B74" s="294"/>
      <c r="C74" s="294"/>
      <c r="D74" s="295">
        <f>D73-SUM('I. Datos de entrada'!$C$14,'I. Datos de entrada'!$C$30)</f>
        <v>0</v>
      </c>
      <c r="E74" s="296"/>
    </row>
    <row r="75" spans="1:10" s="426" customFormat="1" ht="16.5" customHeight="1" x14ac:dyDescent="0.25">
      <c r="A75" s="426" t="s">
        <v>139</v>
      </c>
    </row>
    <row r="76" spans="1:10" ht="4.5" customHeight="1" thickBot="1" x14ac:dyDescent="0.3">
      <c r="A76" s="70"/>
    </row>
    <row r="77" spans="1:10" ht="22.5" customHeight="1" x14ac:dyDescent="0.25">
      <c r="A77" s="599" t="s">
        <v>100</v>
      </c>
      <c r="B77" s="183" t="s">
        <v>133</v>
      </c>
      <c r="C77" s="183"/>
      <c r="D77" s="183"/>
      <c r="E77" s="601" t="s">
        <v>135</v>
      </c>
    </row>
    <row r="78" spans="1:10" ht="18.75" customHeight="1" x14ac:dyDescent="0.25">
      <c r="A78" s="600"/>
      <c r="B78" s="262" t="s">
        <v>2</v>
      </c>
      <c r="C78" s="262" t="s">
        <v>134</v>
      </c>
      <c r="D78" s="262" t="s">
        <v>4</v>
      </c>
      <c r="E78" s="602"/>
    </row>
    <row r="79" spans="1:10" ht="18" customHeight="1" x14ac:dyDescent="0.25">
      <c r="A79" s="245" t="s">
        <v>101</v>
      </c>
      <c r="B79" s="263">
        <f>'VI. Diseño del Peaje 2.0 TD'!D76</f>
        <v>699999.09428868885</v>
      </c>
      <c r="C79" s="263">
        <f>'VI. Diseño del Peaje 2.0 TD'!D77</f>
        <v>3336802.9536697553</v>
      </c>
      <c r="D79" s="264">
        <f>SUM(B79:C79)</f>
        <v>4036802.0479584439</v>
      </c>
      <c r="E79" s="267">
        <f t="shared" ref="E79:E84" si="7">B79/D79</f>
        <v>0.1734043646362852</v>
      </c>
      <c r="F79" s="261"/>
      <c r="G79" s="48"/>
      <c r="I79" s="261"/>
      <c r="J79" s="261"/>
    </row>
    <row r="80" spans="1:10" ht="18" customHeight="1" x14ac:dyDescent="0.25">
      <c r="A80" s="248" t="s">
        <v>102</v>
      </c>
      <c r="B80" s="265">
        <f>'Va. Peajes transporte'!D91</f>
        <v>156302.52493899368</v>
      </c>
      <c r="C80" s="265">
        <f>'Vb. Peajes distribución'!D91</f>
        <v>643174.37620030099</v>
      </c>
      <c r="D80" s="266">
        <f t="shared" ref="D80:D84" si="8">SUM(B80:C80)</f>
        <v>799476.90113929473</v>
      </c>
      <c r="E80" s="268">
        <f t="shared" si="7"/>
        <v>0.19550599237608332</v>
      </c>
      <c r="F80" s="261"/>
      <c r="G80" s="48"/>
      <c r="I80" s="261"/>
      <c r="J80" s="261"/>
    </row>
    <row r="81" spans="1:10" ht="18" customHeight="1" x14ac:dyDescent="0.25">
      <c r="A81" s="248" t="s">
        <v>103</v>
      </c>
      <c r="B81" s="265">
        <f>'Va. Peajes transporte'!D92</f>
        <v>461295.48383429588</v>
      </c>
      <c r="C81" s="265">
        <f>'Vb. Peajes distribución'!D92</f>
        <v>1068164.2316235851</v>
      </c>
      <c r="D81" s="266">
        <f t="shared" si="8"/>
        <v>1529459.7154578809</v>
      </c>
      <c r="E81" s="268">
        <f t="shared" ref="E81:E83" si="9">B81/D81</f>
        <v>0.30160682178948134</v>
      </c>
      <c r="F81" s="261"/>
      <c r="G81" s="48"/>
      <c r="I81" s="261"/>
      <c r="J81" s="261"/>
    </row>
    <row r="82" spans="1:10" ht="18" customHeight="1" x14ac:dyDescent="0.25">
      <c r="A82" s="248" t="s">
        <v>104</v>
      </c>
      <c r="B82" s="265">
        <f>'Va. Peajes transporte'!D93</f>
        <v>113314.27908196184</v>
      </c>
      <c r="C82" s="265">
        <f>'Vb. Peajes distribución'!D93</f>
        <v>142325.72253334743</v>
      </c>
      <c r="D82" s="266">
        <f t="shared" si="8"/>
        <v>255640.00161530927</v>
      </c>
      <c r="E82" s="268">
        <f t="shared" si="9"/>
        <v>0.44325723034722392</v>
      </c>
      <c r="F82" s="261"/>
      <c r="G82" s="48"/>
      <c r="I82" s="261"/>
      <c r="J82" s="261"/>
    </row>
    <row r="83" spans="1:10" ht="18" customHeight="1" x14ac:dyDescent="0.25">
      <c r="A83" s="248" t="s">
        <v>105</v>
      </c>
      <c r="B83" s="265">
        <f>'Va. Peajes transporte'!D94</f>
        <v>53086.380055229747</v>
      </c>
      <c r="C83" s="265">
        <f>'Vb. Peajes distribución'!D94</f>
        <v>37498.9023330114</v>
      </c>
      <c r="D83" s="266">
        <f t="shared" si="8"/>
        <v>90585.282388241147</v>
      </c>
      <c r="E83" s="268">
        <f t="shared" si="9"/>
        <v>0.58603758420386487</v>
      </c>
      <c r="F83" s="261"/>
      <c r="G83" s="48"/>
      <c r="I83" s="261"/>
      <c r="J83" s="261"/>
    </row>
    <row r="84" spans="1:10" ht="18" customHeight="1" thickBot="1" x14ac:dyDescent="0.3">
      <c r="A84" s="251" t="s">
        <v>106</v>
      </c>
      <c r="B84" s="269">
        <f>'Va. Peajes transporte'!D95</f>
        <v>146900.85440646621</v>
      </c>
      <c r="C84" s="269">
        <f>'Vb. Peajes distribución'!D95</f>
        <v>0</v>
      </c>
      <c r="D84" s="270">
        <f t="shared" si="8"/>
        <v>146900.85440646621</v>
      </c>
      <c r="E84" s="271">
        <f t="shared" si="7"/>
        <v>1</v>
      </c>
      <c r="F84" s="261"/>
      <c r="G84" s="48"/>
      <c r="I84" s="261"/>
      <c r="J84" s="261"/>
    </row>
    <row r="85" spans="1:10" ht="7.5" customHeight="1" thickBot="1" x14ac:dyDescent="0.3"/>
    <row r="86" spans="1:10" s="1" customFormat="1" ht="18" customHeight="1" thickBot="1" x14ac:dyDescent="0.3">
      <c r="A86" s="68" t="s">
        <v>4</v>
      </c>
      <c r="B86" s="415">
        <f>SUM(B79:B84)</f>
        <v>1630898.616605636</v>
      </c>
      <c r="C86" s="415">
        <f>SUM(C79:C84)</f>
        <v>5227966.1863600006</v>
      </c>
      <c r="D86" s="416">
        <f>SUM(B86:C86)</f>
        <v>6858864.8029656364</v>
      </c>
      <c r="E86" s="417">
        <f>B86/D86</f>
        <v>0.23777967104709047</v>
      </c>
      <c r="G86" s="48"/>
    </row>
    <row r="87" spans="1:10" x14ac:dyDescent="0.25">
      <c r="B87" s="313"/>
      <c r="C87" s="313"/>
      <c r="D87" s="321"/>
      <c r="E87" s="322"/>
    </row>
    <row r="88" spans="1:10" x14ac:dyDescent="0.25">
      <c r="B88" s="261"/>
      <c r="C88" s="261"/>
      <c r="D88" s="261"/>
    </row>
  </sheetData>
  <mergeCells count="7">
    <mergeCell ref="A77:A78"/>
    <mergeCell ref="A10:A11"/>
    <mergeCell ref="A64:A65"/>
    <mergeCell ref="E64:E65"/>
    <mergeCell ref="E77:E78"/>
    <mergeCell ref="A21:A22"/>
    <mergeCell ref="A52:A53"/>
  </mergeCells>
  <pageMargins left="0.7" right="0.7" top="0.75" bottom="0.75" header="0.3" footer="0.3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3"/>
  <sheetViews>
    <sheetView showGridLines="0" topLeftCell="A26" workbookViewId="0">
      <selection activeCell="M54" sqref="M54"/>
    </sheetView>
  </sheetViews>
  <sheetFormatPr baseColWidth="10" defaultRowHeight="13.2" x14ac:dyDescent="0.25"/>
  <cols>
    <col min="1" max="1" width="12.6640625" bestFit="1" customWidth="1"/>
    <col min="2" max="2" width="14.88671875" customWidth="1"/>
    <col min="3" max="3" width="14.5546875" customWidth="1"/>
    <col min="4" max="4" width="13.6640625" bestFit="1" customWidth="1"/>
    <col min="8" max="13" width="13.33203125" bestFit="1" customWidth="1"/>
  </cols>
  <sheetData>
    <row r="1" spans="1:13" s="1" customFormat="1" x14ac:dyDescent="0.25"/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402" customFormat="1" ht="30" customHeight="1" x14ac:dyDescent="0.25">
      <c r="A6" s="402" t="s">
        <v>198</v>
      </c>
    </row>
    <row r="8" spans="1:13" s="414" customFormat="1" ht="15.6" x14ac:dyDescent="0.3">
      <c r="A8" s="427" t="s">
        <v>166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13" ht="13.8" thickBot="1" x14ac:dyDescent="0.3"/>
    <row r="10" spans="1:13" ht="13.8" thickBot="1" x14ac:dyDescent="0.3">
      <c r="A10" s="486" t="s">
        <v>170</v>
      </c>
      <c r="B10" s="1"/>
      <c r="C10" s="1"/>
    </row>
    <row r="11" spans="1:13" ht="18" customHeight="1" x14ac:dyDescent="0.25">
      <c r="A11" s="487" t="s">
        <v>167</v>
      </c>
      <c r="B11" s="488"/>
      <c r="C11" s="489">
        <v>50</v>
      </c>
    </row>
    <row r="12" spans="1:13" ht="18" customHeight="1" x14ac:dyDescent="0.25">
      <c r="A12" s="490" t="s">
        <v>168</v>
      </c>
      <c r="B12" s="491"/>
      <c r="C12" s="492">
        <v>28.799969999999998</v>
      </c>
    </row>
    <row r="13" spans="1:13" ht="18" customHeight="1" x14ac:dyDescent="0.25">
      <c r="A13" s="490" t="s">
        <v>169</v>
      </c>
      <c r="B13" s="491"/>
      <c r="C13" s="492">
        <f>C11*C12/60</f>
        <v>23.999974999999999</v>
      </c>
    </row>
    <row r="14" spans="1:13" ht="18" customHeight="1" x14ac:dyDescent="0.25">
      <c r="A14" s="490" t="s">
        <v>171</v>
      </c>
      <c r="B14" s="491"/>
      <c r="C14" s="493">
        <v>0.1</v>
      </c>
    </row>
    <row r="15" spans="1:13" ht="18" customHeight="1" thickBot="1" x14ac:dyDescent="0.3">
      <c r="A15" s="494" t="s">
        <v>172</v>
      </c>
      <c r="B15" s="495"/>
      <c r="C15" s="496">
        <f>C11*8760*C14</f>
        <v>43800</v>
      </c>
    </row>
    <row r="16" spans="1:13" ht="13.8" thickBot="1" x14ac:dyDescent="0.3">
      <c r="A16" s="385"/>
      <c r="D16" s="386"/>
    </row>
    <row r="17" spans="1:21" s="336" customFormat="1" ht="24.9" customHeight="1" x14ac:dyDescent="0.25">
      <c r="A17" s="605" t="s">
        <v>146</v>
      </c>
      <c r="B17" s="183" t="s">
        <v>175</v>
      </c>
      <c r="C17" s="183"/>
      <c r="D17" s="183"/>
      <c r="E17" s="183"/>
      <c r="F17" s="183"/>
      <c r="G17" s="183"/>
      <c r="H17" s="337" t="s">
        <v>176</v>
      </c>
      <c r="I17" s="337"/>
      <c r="J17" s="387"/>
      <c r="K17" s="387"/>
      <c r="L17" s="387"/>
      <c r="M17" s="338"/>
    </row>
    <row r="18" spans="1:21" s="336" customFormat="1" ht="24.9" customHeight="1" x14ac:dyDescent="0.25">
      <c r="A18" s="606"/>
      <c r="B18" s="185" t="s">
        <v>16</v>
      </c>
      <c r="C18" s="185" t="s">
        <v>17</v>
      </c>
      <c r="D18" s="185" t="s">
        <v>18</v>
      </c>
      <c r="E18" s="185" t="s">
        <v>19</v>
      </c>
      <c r="F18" s="185" t="s">
        <v>20</v>
      </c>
      <c r="G18" s="185" t="s">
        <v>21</v>
      </c>
      <c r="H18" s="185" t="s">
        <v>16</v>
      </c>
      <c r="I18" s="185" t="s">
        <v>17</v>
      </c>
      <c r="J18" s="185" t="s">
        <v>18</v>
      </c>
      <c r="K18" s="185" t="s">
        <v>19</v>
      </c>
      <c r="L18" s="185" t="s">
        <v>20</v>
      </c>
      <c r="M18" s="186" t="s">
        <v>21</v>
      </c>
    </row>
    <row r="19" spans="1:21" s="336" customFormat="1" ht="30" customHeight="1" x14ac:dyDescent="0.25">
      <c r="A19" s="375" t="s">
        <v>2</v>
      </c>
      <c r="B19" s="379">
        <f>'Va. Peajes transporte'!B80</f>
        <v>1.7306629866757808</v>
      </c>
      <c r="C19" s="379">
        <f>'Va. Peajes transporte'!C80</f>
        <v>1.4664821940141883</v>
      </c>
      <c r="D19" s="379">
        <f>'Va. Peajes transporte'!D80</f>
        <v>0.64906820683409538</v>
      </c>
      <c r="E19" s="379">
        <f>'Va. Peajes transporte'!E80</f>
        <v>0.51129341179540977</v>
      </c>
      <c r="F19" s="379">
        <f>'Va. Peajes transporte'!F80</f>
        <v>9.2472030351570741E-2</v>
      </c>
      <c r="G19" s="379">
        <f>'Va. Peajes transporte'!G80</f>
        <v>9.2472030351570741E-2</v>
      </c>
      <c r="H19" s="380">
        <f>'Va. Peajes transporte'!I80</f>
        <v>5.4993453972665722E-3</v>
      </c>
      <c r="I19" s="380">
        <f>'Va. Peajes transporte'!J80</f>
        <v>4.6356002823448542E-3</v>
      </c>
      <c r="J19" s="380">
        <f>'Va. Peajes transporte'!K80</f>
        <v>2.4711057551169203E-3</v>
      </c>
      <c r="K19" s="380">
        <f>'Va. Peajes transporte'!L80</f>
        <v>1.6319963020723961E-3</v>
      </c>
      <c r="L19" s="380">
        <f>'Va. Peajes transporte'!M80</f>
        <v>1.2180314562931949E-4</v>
      </c>
      <c r="M19" s="381">
        <f>'Va. Peajes transporte'!N80</f>
        <v>1.2180314562931949E-4</v>
      </c>
      <c r="O19" s="346"/>
      <c r="P19" s="345"/>
      <c r="Q19" s="345"/>
      <c r="R19" s="345"/>
      <c r="S19" s="345"/>
      <c r="T19" s="345"/>
      <c r="U19" s="339"/>
    </row>
    <row r="20" spans="1:21" s="336" customFormat="1" ht="30" customHeight="1" x14ac:dyDescent="0.25">
      <c r="A20" s="388" t="s">
        <v>150</v>
      </c>
      <c r="B20" s="389">
        <f>'Vb. Peajes distribución'!B80</f>
        <v>8.9162125421236738</v>
      </c>
      <c r="C20" s="389">
        <f>'Vb. Peajes distribución'!C80</f>
        <v>7.8364738267498888</v>
      </c>
      <c r="D20" s="389">
        <f>'Vb. Peajes distribución'!D80</f>
        <v>3.1022468287484823</v>
      </c>
      <c r="E20" s="389">
        <f>'Vb. Peajes distribución'!E80</f>
        <v>2.3408207459194799</v>
      </c>
      <c r="F20" s="389">
        <f>'Vb. Peajes distribución'!F80</f>
        <v>1.0528362248701753</v>
      </c>
      <c r="G20" s="389">
        <f>'Vb. Peajes distribución'!G80</f>
        <v>1.0528362248701753</v>
      </c>
      <c r="H20" s="390">
        <f>'Vb. Peajes distribución'!I80</f>
        <v>1.2989805777348457E-2</v>
      </c>
      <c r="I20" s="390">
        <f>'Vb. Peajes distribución'!J80</f>
        <v>1.1027849803765623E-2</v>
      </c>
      <c r="J20" s="390">
        <f>'Vb. Peajes distribución'!K80</f>
        <v>6.0520682729202869E-3</v>
      </c>
      <c r="K20" s="390">
        <f>'Vb. Peajes distribución'!L80</f>
        <v>3.9920067999632746E-3</v>
      </c>
      <c r="L20" s="390">
        <f>'Vb. Peajes distribución'!M80</f>
        <v>2.1785262205344609E-4</v>
      </c>
      <c r="M20" s="391">
        <f>'Vb. Peajes distribución'!N80</f>
        <v>2.1785262205344609E-4</v>
      </c>
      <c r="O20" s="346"/>
      <c r="P20" s="345"/>
      <c r="Q20" s="345"/>
      <c r="R20" s="345"/>
      <c r="S20" s="345"/>
      <c r="T20" s="345"/>
      <c r="U20" s="339"/>
    </row>
    <row r="21" spans="1:21" s="336" customFormat="1" ht="30" customHeight="1" thickBot="1" x14ac:dyDescent="0.3">
      <c r="A21" s="406" t="s">
        <v>154</v>
      </c>
      <c r="B21" s="407">
        <f>SUM(B19:B20)</f>
        <v>10.646875528799455</v>
      </c>
      <c r="C21" s="407">
        <f>SUM(C19:C20)</f>
        <v>9.3029560207640767</v>
      </c>
      <c r="D21" s="407">
        <f t="shared" ref="D21:G21" si="0">SUM(D19:D20)</f>
        <v>3.7513150355825777</v>
      </c>
      <c r="E21" s="407">
        <f t="shared" si="0"/>
        <v>2.8521141577148894</v>
      </c>
      <c r="F21" s="407">
        <f t="shared" si="0"/>
        <v>1.145308255221746</v>
      </c>
      <c r="G21" s="407">
        <f t="shared" si="0"/>
        <v>1.145308255221746</v>
      </c>
      <c r="H21" s="408">
        <f>SUM(H19:H20)</f>
        <v>1.848915117461503E-2</v>
      </c>
      <c r="I21" s="408">
        <f t="shared" ref="I21" si="1">SUM(I19:I20)</f>
        <v>1.5663450086110475E-2</v>
      </c>
      <c r="J21" s="408">
        <f t="shared" ref="J21" si="2">SUM(J19:J20)</f>
        <v>8.5231740280372077E-3</v>
      </c>
      <c r="K21" s="408">
        <f t="shared" ref="K21" si="3">SUM(K19:K20)</f>
        <v>5.6240031020356705E-3</v>
      </c>
      <c r="L21" s="408">
        <f t="shared" ref="L21" si="4">SUM(L19:L20)</f>
        <v>3.3965576768276557E-4</v>
      </c>
      <c r="M21" s="409">
        <f t="shared" ref="M21" si="5">SUM(M19:M20)</f>
        <v>3.3965576768276557E-4</v>
      </c>
      <c r="O21" s="346"/>
      <c r="P21" s="345"/>
      <c r="Q21" s="345"/>
      <c r="R21" s="345"/>
      <c r="S21" s="345"/>
      <c r="T21" s="345"/>
      <c r="U21" s="339"/>
    </row>
    <row r="22" spans="1:21" ht="13.8" thickBot="1" x14ac:dyDescent="0.3">
      <c r="A22" s="384"/>
    </row>
    <row r="23" spans="1:21" s="336" customFormat="1" ht="23.25" customHeight="1" x14ac:dyDescent="0.25">
      <c r="A23" s="605" t="s">
        <v>146</v>
      </c>
      <c r="B23" s="183" t="s">
        <v>173</v>
      </c>
      <c r="C23" s="183"/>
      <c r="D23" s="183"/>
      <c r="E23" s="601" t="s">
        <v>127</v>
      </c>
    </row>
    <row r="24" spans="1:21" s="336" customFormat="1" ht="39.6" x14ac:dyDescent="0.25">
      <c r="A24" s="606"/>
      <c r="B24" s="262" t="s">
        <v>177</v>
      </c>
      <c r="C24" s="262" t="s">
        <v>178</v>
      </c>
      <c r="D24" s="262" t="s">
        <v>179</v>
      </c>
      <c r="E24" s="602"/>
    </row>
    <row r="25" spans="1:21" ht="18" customHeight="1" x14ac:dyDescent="0.25">
      <c r="A25" s="377" t="s">
        <v>156</v>
      </c>
      <c r="B25" s="382">
        <f>$C$11*SUM(B19:G19)</f>
        <v>227.12254300113082</v>
      </c>
      <c r="C25" s="382">
        <f>$C$15*AVERAGE(H19:M19)</f>
        <v>105.71607440483348</v>
      </c>
      <c r="D25" s="382">
        <f>SUM(B25:C25)</f>
        <v>332.83861740596433</v>
      </c>
      <c r="E25" s="501">
        <f t="shared" ref="E25" si="6">B25/D25</f>
        <v>0.68238038233438736</v>
      </c>
      <c r="F25" s="261"/>
      <c r="G25" s="261"/>
      <c r="I25" s="261"/>
      <c r="J25" s="261"/>
      <c r="K25" s="261"/>
      <c r="L25" s="261"/>
    </row>
    <row r="26" spans="1:21" ht="18" customHeight="1" x14ac:dyDescent="0.25">
      <c r="A26" s="392" t="s">
        <v>157</v>
      </c>
      <c r="B26" s="502">
        <f>$C$11*SUM(B20:G20)</f>
        <v>1215.0713196640941</v>
      </c>
      <c r="C26" s="502">
        <f>$C$15*AVERAGE(H20:M20)</f>
        <v>251.8312820561631</v>
      </c>
      <c r="D26" s="502">
        <f>SUM(B26:C26)</f>
        <v>1466.9026017202573</v>
      </c>
      <c r="E26" s="503">
        <f>B26/D26</f>
        <v>0.82832446969496332</v>
      </c>
      <c r="F26" s="261"/>
      <c r="G26" s="261"/>
      <c r="I26" s="261"/>
      <c r="J26" s="261"/>
      <c r="K26" s="261"/>
      <c r="L26" s="261"/>
    </row>
    <row r="27" spans="1:21" ht="18" customHeight="1" thickBot="1" x14ac:dyDescent="0.3">
      <c r="A27" s="418" t="s">
        <v>4</v>
      </c>
      <c r="B27" s="504">
        <f>SUM(B25:B26)</f>
        <v>1442.193862665225</v>
      </c>
      <c r="C27" s="504">
        <f t="shared" ref="C27:D27" si="7">SUM(C25:C26)</f>
        <v>357.54735646099658</v>
      </c>
      <c r="D27" s="504">
        <f t="shared" si="7"/>
        <v>1799.7412191262215</v>
      </c>
      <c r="E27" s="505">
        <f>B27/D27</f>
        <v>0.80133401810145433</v>
      </c>
      <c r="F27" s="261"/>
      <c r="G27" s="261"/>
    </row>
    <row r="28" spans="1:21" s="336" customFormat="1" x14ac:dyDescent="0.25"/>
    <row r="29" spans="1:21" s="336" customFormat="1" ht="13.8" thickBot="1" x14ac:dyDescent="0.3"/>
    <row r="30" spans="1:21" s="336" customFormat="1" ht="36.75" customHeight="1" x14ac:dyDescent="0.25">
      <c r="A30" s="605" t="s">
        <v>146</v>
      </c>
      <c r="B30" s="183" t="s">
        <v>174</v>
      </c>
      <c r="C30" s="184"/>
    </row>
    <row r="31" spans="1:21" s="336" customFormat="1" ht="52.8" x14ac:dyDescent="0.25">
      <c r="A31" s="606"/>
      <c r="B31" s="262" t="s">
        <v>180</v>
      </c>
      <c r="C31" s="335" t="s">
        <v>181</v>
      </c>
    </row>
    <row r="32" spans="1:21" ht="18" customHeight="1" x14ac:dyDescent="0.25">
      <c r="A32" s="377" t="s">
        <v>156</v>
      </c>
      <c r="B32" s="506">
        <f>D25*20%/B25</f>
        <v>0.29309166145106713</v>
      </c>
      <c r="C32" s="507">
        <f>D25*80%/C25</f>
        <v>2.5187361091852765</v>
      </c>
      <c r="D32" s="336"/>
      <c r="E32" s="336"/>
      <c r="F32" s="261"/>
      <c r="G32" s="261"/>
      <c r="I32" s="261"/>
      <c r="J32" s="261"/>
      <c r="K32" s="261"/>
      <c r="L32" s="261"/>
    </row>
    <row r="33" spans="1:21" ht="18" customHeight="1" thickBot="1" x14ac:dyDescent="0.3">
      <c r="A33" s="378" t="s">
        <v>157</v>
      </c>
      <c r="B33" s="508">
        <f>D26*20%/B26</f>
        <v>0.24145127581906584</v>
      </c>
      <c r="C33" s="509">
        <f>D26*80%/C26</f>
        <v>4.6599535680975821</v>
      </c>
      <c r="D33" s="336"/>
      <c r="E33" s="336"/>
      <c r="F33" s="261"/>
      <c r="G33" s="261"/>
      <c r="I33" s="261"/>
      <c r="J33" s="261"/>
      <c r="K33" s="261"/>
      <c r="L33" s="261"/>
    </row>
    <row r="34" spans="1:21" s="336" customFormat="1" ht="13.8" thickBot="1" x14ac:dyDescent="0.3"/>
    <row r="35" spans="1:21" s="336" customFormat="1" ht="24.9" customHeight="1" x14ac:dyDescent="0.25">
      <c r="A35" s="605" t="s">
        <v>146</v>
      </c>
      <c r="B35" s="183" t="s">
        <v>182</v>
      </c>
      <c r="C35" s="183"/>
      <c r="D35" s="183"/>
      <c r="E35" s="183"/>
      <c r="F35" s="183"/>
      <c r="G35" s="183"/>
      <c r="H35" s="337" t="s">
        <v>183</v>
      </c>
      <c r="I35" s="337"/>
      <c r="J35" s="387"/>
      <c r="K35" s="387"/>
      <c r="L35" s="387"/>
      <c r="M35" s="338"/>
    </row>
    <row r="36" spans="1:21" s="336" customFormat="1" ht="24.9" customHeight="1" x14ac:dyDescent="0.25">
      <c r="A36" s="606"/>
      <c r="B36" s="185" t="s">
        <v>16</v>
      </c>
      <c r="C36" s="185" t="s">
        <v>17</v>
      </c>
      <c r="D36" s="185" t="s">
        <v>18</v>
      </c>
      <c r="E36" s="185" t="s">
        <v>19</v>
      </c>
      <c r="F36" s="185" t="s">
        <v>20</v>
      </c>
      <c r="G36" s="185" t="s">
        <v>21</v>
      </c>
      <c r="H36" s="185" t="s">
        <v>16</v>
      </c>
      <c r="I36" s="185" t="s">
        <v>17</v>
      </c>
      <c r="J36" s="185" t="s">
        <v>18</v>
      </c>
      <c r="K36" s="185" t="s">
        <v>19</v>
      </c>
      <c r="L36" s="185" t="s">
        <v>20</v>
      </c>
      <c r="M36" s="186" t="s">
        <v>21</v>
      </c>
    </row>
    <row r="37" spans="1:21" s="336" customFormat="1" ht="30" customHeight="1" x14ac:dyDescent="0.25">
      <c r="A37" s="375" t="s">
        <v>2</v>
      </c>
      <c r="B37" s="379">
        <f t="shared" ref="B37:G37" si="8">$B$32*B19</f>
        <v>0.50724289017667068</v>
      </c>
      <c r="C37" s="379">
        <f t="shared" si="8"/>
        <v>0.42981370273202463</v>
      </c>
      <c r="D37" s="379">
        <f t="shared" si="8"/>
        <v>0.19023647913606989</v>
      </c>
      <c r="E37" s="379">
        <f t="shared" si="8"/>
        <v>0.1498558355521013</v>
      </c>
      <c r="F37" s="379">
        <f t="shared" si="8"/>
        <v>2.7102781013495374E-2</v>
      </c>
      <c r="G37" s="379">
        <f t="shared" si="8"/>
        <v>2.7102781013495374E-2</v>
      </c>
      <c r="H37" s="543">
        <f t="shared" ref="H37:M37" si="9">$C$32*H19</f>
        <v>1.3851399828977165E-2</v>
      </c>
      <c r="I37" s="543">
        <f t="shared" si="9"/>
        <v>1.1675853818891448E-2</v>
      </c>
      <c r="J37" s="543">
        <f t="shared" si="9"/>
        <v>6.2240632950285365E-3</v>
      </c>
      <c r="K37" s="543">
        <f t="shared" si="9"/>
        <v>4.1105680160865863E-3</v>
      </c>
      <c r="L37" s="543">
        <f t="shared" si="9"/>
        <v>3.0678998110891977E-4</v>
      </c>
      <c r="M37" s="544">
        <f t="shared" si="9"/>
        <v>3.0678998110891977E-4</v>
      </c>
      <c r="O37" s="346"/>
      <c r="P37" s="345"/>
      <c r="Q37" s="345"/>
      <c r="R37" s="345"/>
      <c r="S37" s="345"/>
      <c r="T37" s="345"/>
      <c r="U37" s="339"/>
    </row>
    <row r="38" spans="1:21" s="336" customFormat="1" ht="30" customHeight="1" x14ac:dyDescent="0.25">
      <c r="A38" s="388" t="s">
        <v>150</v>
      </c>
      <c r="B38" s="389">
        <f t="shared" ref="B38:G38" si="10">B20*$B$33</f>
        <v>2.1528308937697171</v>
      </c>
      <c r="C38" s="389">
        <f t="shared" si="10"/>
        <v>1.8921266033914776</v>
      </c>
      <c r="D38" s="389">
        <f t="shared" si="10"/>
        <v>0.74904145470697214</v>
      </c>
      <c r="E38" s="389">
        <f t="shared" si="10"/>
        <v>0.56519415556599573</v>
      </c>
      <c r="F38" s="389">
        <f t="shared" si="10"/>
        <v>0.25420864972343271</v>
      </c>
      <c r="G38" s="389">
        <f t="shared" si="10"/>
        <v>0.25420864972343271</v>
      </c>
      <c r="H38" s="547">
        <f t="shared" ref="H38:M38" si="11">$C$33*H20</f>
        <v>6.0531891781049528E-2</v>
      </c>
      <c r="I38" s="547">
        <f t="shared" si="11"/>
        <v>5.1389268041501832E-2</v>
      </c>
      <c r="J38" s="547">
        <f t="shared" si="11"/>
        <v>2.8202357142765061E-2</v>
      </c>
      <c r="K38" s="547">
        <f t="shared" si="11"/>
        <v>1.8602566331358674E-2</v>
      </c>
      <c r="L38" s="547">
        <f t="shared" si="11"/>
        <v>1.0151831034573701E-3</v>
      </c>
      <c r="M38" s="548">
        <f t="shared" si="11"/>
        <v>1.0151831034573701E-3</v>
      </c>
      <c r="O38" s="346"/>
      <c r="P38" s="345"/>
      <c r="Q38" s="345"/>
      <c r="R38" s="345"/>
      <c r="S38" s="345"/>
      <c r="T38" s="345"/>
      <c r="U38" s="339"/>
    </row>
    <row r="39" spans="1:21" s="336" customFormat="1" ht="30" customHeight="1" thickBot="1" x14ac:dyDescent="0.3">
      <c r="A39" s="406" t="s">
        <v>154</v>
      </c>
      <c r="B39" s="407">
        <f>SUM(B37:B38)</f>
        <v>2.6600737839463879</v>
      </c>
      <c r="C39" s="407">
        <f>SUM(C37:C38)</f>
        <v>2.3219403061235022</v>
      </c>
      <c r="D39" s="407">
        <f t="shared" ref="D39" si="12">SUM(D37:D38)</f>
        <v>0.93927793384304203</v>
      </c>
      <c r="E39" s="407">
        <f t="shared" ref="E39" si="13">SUM(E37:E38)</f>
        <v>0.71504999111809697</v>
      </c>
      <c r="F39" s="407">
        <f t="shared" ref="F39" si="14">SUM(F37:F38)</f>
        <v>0.2813114307369281</v>
      </c>
      <c r="G39" s="407">
        <f t="shared" ref="G39" si="15">SUM(G37:G38)</f>
        <v>0.2813114307369281</v>
      </c>
      <c r="H39" s="545">
        <f>SUM(H37:H38)</f>
        <v>7.4383291610026686E-2</v>
      </c>
      <c r="I39" s="545">
        <f t="shared" ref="I39:M39" si="16">SUM(I37:I38)</f>
        <v>6.3065121860393286E-2</v>
      </c>
      <c r="J39" s="545">
        <f t="shared" si="16"/>
        <v>3.4426420437793599E-2</v>
      </c>
      <c r="K39" s="545">
        <f t="shared" si="16"/>
        <v>2.2713134347445259E-2</v>
      </c>
      <c r="L39" s="545">
        <f t="shared" si="16"/>
        <v>1.3219730845662899E-3</v>
      </c>
      <c r="M39" s="546">
        <f t="shared" si="16"/>
        <v>1.3219730845662899E-3</v>
      </c>
      <c r="O39" s="346"/>
      <c r="P39" s="346"/>
      <c r="Q39" s="345"/>
      <c r="R39" s="345"/>
      <c r="S39" s="345"/>
      <c r="T39" s="345"/>
      <c r="U39" s="339"/>
    </row>
    <row r="40" spans="1:21" s="336" customFormat="1" x14ac:dyDescent="0.25"/>
    <row r="41" spans="1:21" s="336" customFormat="1" x14ac:dyDescent="0.25"/>
    <row r="42" spans="1:21" s="414" customFormat="1" ht="15.6" x14ac:dyDescent="0.3">
      <c r="A42" s="427" t="s">
        <v>184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</row>
    <row r="43" spans="1:21" ht="13.8" thickBot="1" x14ac:dyDescent="0.3"/>
    <row r="44" spans="1:21" ht="13.8" thickBot="1" x14ac:dyDescent="0.3">
      <c r="A44" s="486" t="s">
        <v>170</v>
      </c>
      <c r="B44" s="1"/>
      <c r="C44" s="1"/>
    </row>
    <row r="45" spans="1:21" ht="18" customHeight="1" x14ac:dyDescent="0.25">
      <c r="A45" s="487" t="s">
        <v>167</v>
      </c>
      <c r="B45" s="488"/>
      <c r="C45" s="489">
        <v>150</v>
      </c>
    </row>
    <row r="46" spans="1:21" ht="18" customHeight="1" x14ac:dyDescent="0.25">
      <c r="A46" s="490" t="s">
        <v>168</v>
      </c>
      <c r="B46" s="491"/>
      <c r="C46" s="492">
        <v>28.799969999999998</v>
      </c>
    </row>
    <row r="47" spans="1:21" ht="18" customHeight="1" x14ac:dyDescent="0.25">
      <c r="A47" s="490" t="s">
        <v>169</v>
      </c>
      <c r="B47" s="491"/>
      <c r="C47" s="492">
        <f>C45*C46/60</f>
        <v>71.999925000000005</v>
      </c>
    </row>
    <row r="48" spans="1:21" ht="18" customHeight="1" x14ac:dyDescent="0.25">
      <c r="A48" s="490" t="s">
        <v>171</v>
      </c>
      <c r="B48" s="491"/>
      <c r="C48" s="493">
        <v>0.1</v>
      </c>
    </row>
    <row r="49" spans="1:21" ht="18" customHeight="1" thickBot="1" x14ac:dyDescent="0.3">
      <c r="A49" s="494" t="s">
        <v>172</v>
      </c>
      <c r="B49" s="495"/>
      <c r="C49" s="496">
        <f>C45*8760*C48</f>
        <v>131400</v>
      </c>
    </row>
    <row r="50" spans="1:21" ht="13.8" thickBot="1" x14ac:dyDescent="0.3">
      <c r="A50" s="385"/>
      <c r="D50" s="386"/>
    </row>
    <row r="51" spans="1:21" s="336" customFormat="1" ht="24.9" customHeight="1" x14ac:dyDescent="0.25">
      <c r="A51" s="605" t="s">
        <v>146</v>
      </c>
      <c r="B51" s="183" t="s">
        <v>185</v>
      </c>
      <c r="C51" s="183"/>
      <c r="D51" s="183"/>
      <c r="E51" s="183"/>
      <c r="F51" s="183"/>
      <c r="G51" s="183"/>
      <c r="H51" s="337" t="s">
        <v>186</v>
      </c>
      <c r="I51" s="337"/>
      <c r="J51" s="387"/>
      <c r="K51" s="387"/>
      <c r="L51" s="387"/>
      <c r="M51" s="338"/>
    </row>
    <row r="52" spans="1:21" s="336" customFormat="1" ht="24.9" customHeight="1" x14ac:dyDescent="0.25">
      <c r="A52" s="606"/>
      <c r="B52" s="185" t="s">
        <v>16</v>
      </c>
      <c r="C52" s="185" t="s">
        <v>17</v>
      </c>
      <c r="D52" s="185" t="s">
        <v>18</v>
      </c>
      <c r="E52" s="185" t="s">
        <v>19</v>
      </c>
      <c r="F52" s="185" t="s">
        <v>20</v>
      </c>
      <c r="G52" s="185" t="s">
        <v>21</v>
      </c>
      <c r="H52" s="185" t="s">
        <v>16</v>
      </c>
      <c r="I52" s="185" t="s">
        <v>17</v>
      </c>
      <c r="J52" s="185" t="s">
        <v>18</v>
      </c>
      <c r="K52" s="185" t="s">
        <v>19</v>
      </c>
      <c r="L52" s="185" t="s">
        <v>20</v>
      </c>
      <c r="M52" s="186" t="s">
        <v>21</v>
      </c>
    </row>
    <row r="53" spans="1:21" s="336" customFormat="1" ht="30" customHeight="1" x14ac:dyDescent="0.25">
      <c r="A53" s="375" t="s">
        <v>2</v>
      </c>
      <c r="B53" s="379">
        <f>'Va. Peajes transporte'!B81</f>
        <v>6.430586718674312</v>
      </c>
      <c r="C53" s="379">
        <f>'Va. Peajes transporte'!C81</f>
        <v>6.430586718674312</v>
      </c>
      <c r="D53" s="379">
        <f>'Va. Peajes transporte'!D81</f>
        <v>3.4357047267677725</v>
      </c>
      <c r="E53" s="379">
        <f>'Va. Peajes transporte'!E81</f>
        <v>2.6399106358057352</v>
      </c>
      <c r="F53" s="379">
        <f>'Va. Peajes transporte'!F81</f>
        <v>0.20965624392597818</v>
      </c>
      <c r="G53" s="379">
        <f>'Va. Peajes transporte'!G81</f>
        <v>0.20965624392597818</v>
      </c>
      <c r="H53" s="543">
        <f>'Va. Peajes transporte'!I81</f>
        <v>5.6025401761432836E-3</v>
      </c>
      <c r="I53" s="543">
        <f>'Va. Peajes transporte'!J81</f>
        <v>4.5805610594819709E-3</v>
      </c>
      <c r="J53" s="543">
        <f>'Va. Peajes transporte'!K81</f>
        <v>2.6410735941350986E-3</v>
      </c>
      <c r="K53" s="543">
        <f>'Va. Peajes transporte'!L81</f>
        <v>1.6777474259112946E-3</v>
      </c>
      <c r="L53" s="543">
        <f>'Va. Peajes transporte'!M81</f>
        <v>1.1751664818181839E-4</v>
      </c>
      <c r="M53" s="544">
        <f>'Va. Peajes transporte'!N81</f>
        <v>1.1751664818181839E-4</v>
      </c>
      <c r="O53" s="346"/>
      <c r="P53" s="345"/>
      <c r="Q53" s="345"/>
      <c r="R53" s="345"/>
      <c r="S53" s="345"/>
      <c r="T53" s="345"/>
      <c r="U53" s="339"/>
    </row>
    <row r="54" spans="1:21" s="336" customFormat="1" ht="30" customHeight="1" x14ac:dyDescent="0.25">
      <c r="A54" s="388" t="s">
        <v>150</v>
      </c>
      <c r="B54" s="389">
        <f>'Vb. Peajes distribución'!B81</f>
        <v>14.814605123678016</v>
      </c>
      <c r="C54" s="389">
        <f>'Vb. Peajes distribución'!C81</f>
        <v>14.814605123678016</v>
      </c>
      <c r="D54" s="389">
        <f>'Vb. Peajes distribución'!D81</f>
        <v>8.0950429890464992</v>
      </c>
      <c r="E54" s="389">
        <f>'Vb. Peajes distribución'!E81</f>
        <v>6.0761373583345408</v>
      </c>
      <c r="F54" s="389">
        <f>'Vb. Peajes distribución'!F81</f>
        <v>0.35060287204717711</v>
      </c>
      <c r="G54" s="389">
        <f>'Vb. Peajes distribución'!G81</f>
        <v>0.35060287204717711</v>
      </c>
      <c r="H54" s="547">
        <f>'Vb. Peajes distribución'!I81</f>
        <v>1.3234700635468563E-2</v>
      </c>
      <c r="I54" s="547">
        <f>'Vb. Peajes distribución'!J81</f>
        <v>1.089785558201968E-2</v>
      </c>
      <c r="J54" s="547">
        <f>'Vb. Peajes distribución'!K81</f>
        <v>6.4689816474209341E-3</v>
      </c>
      <c r="K54" s="547">
        <f>'Vb. Peajes distribución'!L81</f>
        <v>4.1042554747289508E-3</v>
      </c>
      <c r="L54" s="547">
        <f>'Vb. Peajes distribución'!M81</f>
        <v>2.1001947738877435E-4</v>
      </c>
      <c r="M54" s="548">
        <f>'Vb. Peajes distribución'!N81</f>
        <v>2.1001947738877435E-4</v>
      </c>
      <c r="O54" s="346"/>
      <c r="P54" s="345"/>
      <c r="Q54" s="345"/>
      <c r="R54" s="345"/>
      <c r="S54" s="345"/>
      <c r="T54" s="345"/>
      <c r="U54" s="339"/>
    </row>
    <row r="55" spans="1:21" s="336" customFormat="1" ht="30" customHeight="1" thickBot="1" x14ac:dyDescent="0.3">
      <c r="A55" s="406" t="s">
        <v>154</v>
      </c>
      <c r="B55" s="407">
        <f>SUM(B53:B54)</f>
        <v>21.245191842352327</v>
      </c>
      <c r="C55" s="407">
        <f>SUM(C53:C54)</f>
        <v>21.245191842352327</v>
      </c>
      <c r="D55" s="407">
        <f t="shared" ref="D55" si="17">SUM(D53:D54)</f>
        <v>11.530747715814272</v>
      </c>
      <c r="E55" s="407">
        <f t="shared" ref="E55" si="18">SUM(E53:E54)</f>
        <v>8.7160479941402755</v>
      </c>
      <c r="F55" s="407">
        <f t="shared" ref="F55" si="19">SUM(F53:F54)</f>
        <v>0.56025911597315525</v>
      </c>
      <c r="G55" s="407">
        <f t="shared" ref="G55" si="20">SUM(G53:G54)</f>
        <v>0.56025911597315525</v>
      </c>
      <c r="H55" s="545">
        <f>SUM(H53:H54)</f>
        <v>1.8837240811611845E-2</v>
      </c>
      <c r="I55" s="545">
        <f t="shared" ref="I55" si="21">SUM(I53:I54)</f>
        <v>1.5478416641501652E-2</v>
      </c>
      <c r="J55" s="545">
        <f t="shared" ref="J55" si="22">SUM(J53:J54)</f>
        <v>9.1100552415560327E-3</v>
      </c>
      <c r="K55" s="545">
        <f t="shared" ref="K55" si="23">SUM(K53:K54)</f>
        <v>5.7820029006402452E-3</v>
      </c>
      <c r="L55" s="545">
        <f t="shared" ref="L55" si="24">SUM(L53:L54)</f>
        <v>3.2753612557059273E-4</v>
      </c>
      <c r="M55" s="546">
        <f t="shared" ref="M55" si="25">SUM(M53:M54)</f>
        <v>3.2753612557059273E-4</v>
      </c>
      <c r="O55" s="346"/>
      <c r="P55" s="345"/>
      <c r="Q55" s="345"/>
      <c r="R55" s="345"/>
      <c r="S55" s="345"/>
      <c r="T55" s="345"/>
      <c r="U55" s="339"/>
    </row>
    <row r="56" spans="1:21" ht="13.8" thickBot="1" x14ac:dyDescent="0.3">
      <c r="A56" s="384"/>
    </row>
    <row r="57" spans="1:21" s="336" customFormat="1" ht="23.25" customHeight="1" x14ac:dyDescent="0.25">
      <c r="A57" s="605" t="s">
        <v>146</v>
      </c>
      <c r="B57" s="183" t="s">
        <v>187</v>
      </c>
      <c r="C57" s="183"/>
      <c r="D57" s="183"/>
      <c r="E57" s="601" t="s">
        <v>127</v>
      </c>
    </row>
    <row r="58" spans="1:21" s="336" customFormat="1" ht="39.6" x14ac:dyDescent="0.25">
      <c r="A58" s="606"/>
      <c r="B58" s="262" t="s">
        <v>177</v>
      </c>
      <c r="C58" s="262" t="s">
        <v>178</v>
      </c>
      <c r="D58" s="262" t="s">
        <v>179</v>
      </c>
      <c r="E58" s="602"/>
    </row>
    <row r="59" spans="1:21" ht="18" customHeight="1" x14ac:dyDescent="0.25">
      <c r="A59" s="377" t="s">
        <v>156</v>
      </c>
      <c r="B59" s="382">
        <f>$C$45*SUM(B53:G53)</f>
        <v>2903.4151931661127</v>
      </c>
      <c r="C59" s="382">
        <f>$C$49*AVERAGE(H53:M53)</f>
        <v>322.73932658957278</v>
      </c>
      <c r="D59" s="382">
        <f>SUM(B59:C59)</f>
        <v>3226.1545197556852</v>
      </c>
      <c r="E59" s="501">
        <f t="shared" ref="E59" si="26">B59/D59</f>
        <v>0.89996160301273687</v>
      </c>
      <c r="F59" s="261"/>
      <c r="G59" s="261"/>
      <c r="I59" s="261"/>
      <c r="J59" s="261"/>
      <c r="K59" s="261"/>
      <c r="L59" s="261"/>
    </row>
    <row r="60" spans="1:21" ht="18" customHeight="1" x14ac:dyDescent="0.25">
      <c r="A60" s="392" t="s">
        <v>157</v>
      </c>
      <c r="B60" s="502">
        <f>$C$45*SUM(B54:G54)</f>
        <v>6675.2394508247144</v>
      </c>
      <c r="C60" s="502">
        <f>$C$49*AVERAGE(H54:M54)</f>
        <v>769.25572724770336</v>
      </c>
      <c r="D60" s="502">
        <f>SUM(B60:C60)</f>
        <v>7444.4951780724177</v>
      </c>
      <c r="E60" s="503">
        <f>B60/D60</f>
        <v>0.89666784532099264</v>
      </c>
      <c r="F60" s="261"/>
      <c r="G60" s="261"/>
      <c r="I60" s="261"/>
      <c r="J60" s="261"/>
      <c r="K60" s="261"/>
      <c r="L60" s="261"/>
    </row>
    <row r="61" spans="1:21" ht="18" customHeight="1" thickBot="1" x14ac:dyDescent="0.3">
      <c r="A61" s="418" t="s">
        <v>4</v>
      </c>
      <c r="B61" s="504">
        <f>SUM(B59:B60)</f>
        <v>9578.654643990827</v>
      </c>
      <c r="C61" s="504">
        <f t="shared" ref="C61" si="27">SUM(C59:C60)</f>
        <v>1091.9950538372761</v>
      </c>
      <c r="D61" s="504">
        <f t="shared" ref="D61" si="28">SUM(D59:D60)</f>
        <v>10670.649697828103</v>
      </c>
      <c r="E61" s="505">
        <f>B61/D61</f>
        <v>0.89766367702432026</v>
      </c>
      <c r="F61" s="261"/>
      <c r="G61" s="261"/>
    </row>
    <row r="62" spans="1:21" s="336" customFormat="1" x14ac:dyDescent="0.25"/>
    <row r="63" spans="1:21" s="336" customFormat="1" ht="13.8" thickBot="1" x14ac:dyDescent="0.3"/>
    <row r="64" spans="1:21" s="336" customFormat="1" ht="36.75" customHeight="1" x14ac:dyDescent="0.25">
      <c r="A64" s="605" t="s">
        <v>146</v>
      </c>
      <c r="B64" s="183" t="s">
        <v>223</v>
      </c>
      <c r="C64" s="184"/>
    </row>
    <row r="65" spans="1:21" s="336" customFormat="1" ht="52.8" x14ac:dyDescent="0.25">
      <c r="A65" s="606"/>
      <c r="B65" s="262" t="s">
        <v>180</v>
      </c>
      <c r="C65" s="335" t="s">
        <v>181</v>
      </c>
    </row>
    <row r="66" spans="1:21" ht="18" customHeight="1" x14ac:dyDescent="0.25">
      <c r="A66" s="377" t="s">
        <v>156</v>
      </c>
      <c r="B66" s="506">
        <f>D59*20%/B59</f>
        <v>0.22223170336431505</v>
      </c>
      <c r="C66" s="507">
        <f>D59*80%/C59</f>
        <v>7.9969294200291428</v>
      </c>
      <c r="D66" s="336"/>
      <c r="E66" s="336"/>
      <c r="F66" s="261"/>
      <c r="G66" s="261"/>
      <c r="I66" s="261"/>
      <c r="J66" s="261"/>
      <c r="K66" s="261"/>
      <c r="L66" s="261"/>
    </row>
    <row r="67" spans="1:21" ht="18" customHeight="1" thickBot="1" x14ac:dyDescent="0.3">
      <c r="A67" s="378" t="s">
        <v>157</v>
      </c>
      <c r="B67" s="508">
        <f>D60*20%/B60</f>
        <v>0.22304803394439021</v>
      </c>
      <c r="C67" s="509">
        <f>D60*80%/C60</f>
        <v>7.7420237919661394</v>
      </c>
      <c r="D67" s="336"/>
      <c r="E67" s="336"/>
      <c r="F67" s="261"/>
      <c r="G67" s="261"/>
      <c r="I67" s="261"/>
      <c r="J67" s="261"/>
      <c r="K67" s="261"/>
      <c r="L67" s="261"/>
    </row>
    <row r="68" spans="1:21" s="336" customFormat="1" ht="13.8" thickBot="1" x14ac:dyDescent="0.3"/>
    <row r="69" spans="1:21" s="336" customFormat="1" ht="24.9" customHeight="1" x14ac:dyDescent="0.25">
      <c r="A69" s="605" t="s">
        <v>146</v>
      </c>
      <c r="B69" s="183" t="s">
        <v>224</v>
      </c>
      <c r="C69" s="183"/>
      <c r="D69" s="183"/>
      <c r="E69" s="183"/>
      <c r="F69" s="183"/>
      <c r="G69" s="183"/>
      <c r="H69" s="337" t="s">
        <v>225</v>
      </c>
      <c r="I69" s="337"/>
      <c r="J69" s="387"/>
      <c r="K69" s="387"/>
      <c r="L69" s="387"/>
      <c r="M69" s="338"/>
    </row>
    <row r="70" spans="1:21" s="336" customFormat="1" ht="24.9" customHeight="1" x14ac:dyDescent="0.25">
      <c r="A70" s="606"/>
      <c r="B70" s="185" t="s">
        <v>16</v>
      </c>
      <c r="C70" s="185" t="s">
        <v>17</v>
      </c>
      <c r="D70" s="185" t="s">
        <v>18</v>
      </c>
      <c r="E70" s="185" t="s">
        <v>19</v>
      </c>
      <c r="F70" s="185" t="s">
        <v>20</v>
      </c>
      <c r="G70" s="185" t="s">
        <v>21</v>
      </c>
      <c r="H70" s="185" t="s">
        <v>16</v>
      </c>
      <c r="I70" s="185" t="s">
        <v>17</v>
      </c>
      <c r="J70" s="185" t="s">
        <v>18</v>
      </c>
      <c r="K70" s="185" t="s">
        <v>19</v>
      </c>
      <c r="L70" s="185" t="s">
        <v>20</v>
      </c>
      <c r="M70" s="186" t="s">
        <v>21</v>
      </c>
    </row>
    <row r="71" spans="1:21" s="336" customFormat="1" ht="30" customHeight="1" x14ac:dyDescent="0.25">
      <c r="A71" s="375" t="s">
        <v>2</v>
      </c>
      <c r="B71" s="379">
        <f>$B$66*B53</f>
        <v>1.4290802401229339</v>
      </c>
      <c r="C71" s="379">
        <f t="shared" ref="C71:G71" si="29">$B$66*C53</f>
        <v>1.4290802401229339</v>
      </c>
      <c r="D71" s="379">
        <f t="shared" si="29"/>
        <v>0.76352251368643076</v>
      </c>
      <c r="E71" s="379">
        <f t="shared" si="29"/>
        <v>0.58667183732468053</v>
      </c>
      <c r="F71" s="379">
        <f t="shared" si="29"/>
        <v>4.6592264208634458E-2</v>
      </c>
      <c r="G71" s="379">
        <f t="shared" si="29"/>
        <v>4.6592264208634458E-2</v>
      </c>
      <c r="H71" s="380">
        <f>$C$66*H53</f>
        <v>4.4803118361495482E-2</v>
      </c>
      <c r="I71" s="380">
        <f t="shared" ref="I71:M71" si="30">$C$66*I53</f>
        <v>3.6630423496811233E-2</v>
      </c>
      <c r="J71" s="380">
        <f t="shared" si="30"/>
        <v>2.1120479125401079E-2</v>
      </c>
      <c r="K71" s="380">
        <f t="shared" si="30"/>
        <v>1.3416827749648195E-2</v>
      </c>
      <c r="L71" s="380">
        <f t="shared" si="30"/>
        <v>9.3977234118839781E-4</v>
      </c>
      <c r="M71" s="381">
        <f t="shared" si="30"/>
        <v>9.3977234118839781E-4</v>
      </c>
      <c r="O71" s="346"/>
      <c r="P71" s="345"/>
      <c r="Q71" s="345"/>
      <c r="R71" s="345"/>
      <c r="S71" s="345"/>
      <c r="T71" s="345"/>
      <c r="U71" s="339"/>
    </row>
    <row r="72" spans="1:21" s="336" customFormat="1" ht="30" customHeight="1" x14ac:dyDescent="0.25">
      <c r="A72" s="388" t="s">
        <v>150</v>
      </c>
      <c r="B72" s="389">
        <f>B54*$B$67</f>
        <v>3.3043685464988712</v>
      </c>
      <c r="C72" s="389">
        <f t="shared" ref="C72:G72" si="31">C54*$B$67</f>
        <v>3.3043685464988712</v>
      </c>
      <c r="D72" s="389">
        <f t="shared" si="31"/>
        <v>1.8055834234021415</v>
      </c>
      <c r="E72" s="389">
        <f t="shared" si="31"/>
        <v>1.3552704917525802</v>
      </c>
      <c r="F72" s="389">
        <f t="shared" si="31"/>
        <v>7.8201281305379455E-2</v>
      </c>
      <c r="G72" s="389">
        <f t="shared" si="31"/>
        <v>7.8201281305379455E-2</v>
      </c>
      <c r="H72" s="390">
        <f>$C$67*H54</f>
        <v>0.102463367199347</v>
      </c>
      <c r="I72" s="390">
        <f t="shared" ref="I72:M72" si="32">$C$67*I54</f>
        <v>8.4371457197407365E-2</v>
      </c>
      <c r="J72" s="390">
        <f t="shared" si="32"/>
        <v>5.0083009824125183E-2</v>
      </c>
      <c r="K72" s="390">
        <f t="shared" si="32"/>
        <v>3.177524353365882E-2</v>
      </c>
      <c r="L72" s="390">
        <f t="shared" si="32"/>
        <v>1.6259757907201857E-3</v>
      </c>
      <c r="M72" s="391">
        <f t="shared" si="32"/>
        <v>1.6259757907201857E-3</v>
      </c>
      <c r="O72" s="346"/>
      <c r="P72" s="345"/>
      <c r="Q72" s="345"/>
      <c r="R72" s="345"/>
      <c r="S72" s="345"/>
      <c r="T72" s="345"/>
      <c r="U72" s="339"/>
    </row>
    <row r="73" spans="1:21" s="336" customFormat="1" ht="30" customHeight="1" thickBot="1" x14ac:dyDescent="0.3">
      <c r="A73" s="406" t="s">
        <v>154</v>
      </c>
      <c r="B73" s="407">
        <f>SUM(B71:B72)</f>
        <v>4.7334487866218051</v>
      </c>
      <c r="C73" s="407">
        <f>SUM(C71:C72)</f>
        <v>4.7334487866218051</v>
      </c>
      <c r="D73" s="407">
        <f t="shared" ref="D73" si="33">SUM(D71:D72)</f>
        <v>2.5691059370885725</v>
      </c>
      <c r="E73" s="407">
        <f t="shared" ref="E73" si="34">SUM(E71:E72)</f>
        <v>1.9419423290772606</v>
      </c>
      <c r="F73" s="407">
        <f t="shared" ref="F73" si="35">SUM(F71:F72)</f>
        <v>0.12479354551401392</v>
      </c>
      <c r="G73" s="407">
        <f t="shared" ref="G73" si="36">SUM(G71:G72)</f>
        <v>0.12479354551401392</v>
      </c>
      <c r="H73" s="408">
        <f>SUM(H71:H72)</f>
        <v>0.14726648556084249</v>
      </c>
      <c r="I73" s="408">
        <f t="shared" ref="I73" si="37">SUM(I71:I72)</f>
        <v>0.12100188069421861</v>
      </c>
      <c r="J73" s="408">
        <f t="shared" ref="J73" si="38">SUM(J71:J72)</f>
        <v>7.1203488949526259E-2</v>
      </c>
      <c r="K73" s="408">
        <f t="shared" ref="K73" si="39">SUM(K71:K72)</f>
        <v>4.5192071283307017E-2</v>
      </c>
      <c r="L73" s="408">
        <f t="shared" ref="L73" si="40">SUM(L71:L72)</f>
        <v>2.5657481319085835E-3</v>
      </c>
      <c r="M73" s="409">
        <f t="shared" ref="M73" si="41">SUM(M71:M72)</f>
        <v>2.5657481319085835E-3</v>
      </c>
      <c r="O73" s="346"/>
      <c r="P73" s="346"/>
      <c r="Q73" s="345"/>
      <c r="R73" s="345"/>
      <c r="S73" s="345"/>
      <c r="T73" s="345"/>
      <c r="U73" s="339"/>
    </row>
  </sheetData>
  <mergeCells count="10">
    <mergeCell ref="E57:E58"/>
    <mergeCell ref="A23:A24"/>
    <mergeCell ref="E23:E24"/>
    <mergeCell ref="A30:A31"/>
    <mergeCell ref="A35:A36"/>
    <mergeCell ref="A64:A65"/>
    <mergeCell ref="A69:A70"/>
    <mergeCell ref="A17:A18"/>
    <mergeCell ref="A51:A52"/>
    <mergeCell ref="A57:A58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8"/>
  <sheetViews>
    <sheetView showGridLines="0" topLeftCell="A13" workbookViewId="0">
      <selection activeCell="L35" sqref="L35"/>
    </sheetView>
  </sheetViews>
  <sheetFormatPr baseColWidth="10" defaultRowHeight="13.2" x14ac:dyDescent="0.25"/>
  <cols>
    <col min="2" max="5" width="12.88671875" bestFit="1" customWidth="1"/>
    <col min="6" max="6" width="11.88671875" bestFit="1" customWidth="1"/>
    <col min="7" max="7" width="12.88671875" bestFit="1" customWidth="1"/>
  </cols>
  <sheetData>
    <row r="1" spans="1:7" s="1" customFormat="1" x14ac:dyDescent="0.25"/>
    <row r="2" spans="1:7" s="1" customFormat="1" x14ac:dyDescent="0.25"/>
    <row r="3" spans="1:7" s="1" customFormat="1" x14ac:dyDescent="0.25"/>
    <row r="4" spans="1:7" s="1" customFormat="1" x14ac:dyDescent="0.25"/>
    <row r="5" spans="1:7" s="1" customFormat="1" x14ac:dyDescent="0.25"/>
    <row r="6" spans="1:7" s="402" customFormat="1" ht="44.25" customHeight="1" x14ac:dyDescent="0.25">
      <c r="A6" s="609" t="s">
        <v>209</v>
      </c>
      <c r="B6" s="609"/>
      <c r="C6" s="609"/>
      <c r="D6" s="609"/>
      <c r="E6" s="609"/>
      <c r="F6" s="609"/>
      <c r="G6" s="609"/>
    </row>
    <row r="7" spans="1:7" ht="10.5" customHeight="1" thickBot="1" x14ac:dyDescent="0.3"/>
    <row r="8" spans="1:7" ht="25.5" customHeight="1" thickBot="1" x14ac:dyDescent="0.3">
      <c r="B8" s="198" t="s">
        <v>99</v>
      </c>
      <c r="C8" s="199"/>
      <c r="D8" s="199"/>
      <c r="E8" s="199"/>
      <c r="F8" s="199"/>
      <c r="G8" s="200"/>
    </row>
    <row r="9" spans="1:7" ht="13.8" thickBot="1" x14ac:dyDescent="0.3"/>
    <row r="10" spans="1:7" ht="30" customHeight="1" x14ac:dyDescent="0.25">
      <c r="A10" s="599" t="s">
        <v>56</v>
      </c>
      <c r="B10" s="611" t="s">
        <v>140</v>
      </c>
      <c r="C10" s="612"/>
      <c r="D10" s="612"/>
      <c r="E10" s="612"/>
      <c r="F10" s="612"/>
      <c r="G10" s="613"/>
    </row>
    <row r="11" spans="1:7" ht="30" customHeight="1" x14ac:dyDescent="0.25">
      <c r="A11" s="600"/>
      <c r="B11" s="185" t="s">
        <v>16</v>
      </c>
      <c r="C11" s="185" t="s">
        <v>17</v>
      </c>
      <c r="D11" s="185" t="s">
        <v>18</v>
      </c>
      <c r="E11" s="185" t="s">
        <v>19</v>
      </c>
      <c r="F11" s="185" t="s">
        <v>20</v>
      </c>
      <c r="G11" s="186" t="s">
        <v>21</v>
      </c>
    </row>
    <row r="12" spans="1:7" ht="15" customHeight="1" x14ac:dyDescent="0.25">
      <c r="A12" s="189" t="s">
        <v>11</v>
      </c>
      <c r="B12" s="303">
        <f>'IV. Metodología de asignación'!J85</f>
        <v>0</v>
      </c>
      <c r="C12" s="190">
        <f>'IV. Metodología de asignación'!K85</f>
        <v>0</v>
      </c>
      <c r="D12" s="190">
        <f>'IV. Metodología de asignación'!L85</f>
        <v>0</v>
      </c>
      <c r="E12" s="190">
        <f>'IV. Metodología de asignación'!M85</f>
        <v>0</v>
      </c>
      <c r="F12" s="190">
        <f>'IV. Metodología de asignación'!N85</f>
        <v>0</v>
      </c>
      <c r="G12" s="191">
        <f>'IV. Metodología de asignación'!O85</f>
        <v>0</v>
      </c>
    </row>
    <row r="13" spans="1:7" ht="15" customHeight="1" x14ac:dyDescent="0.25">
      <c r="A13" s="192" t="s">
        <v>12</v>
      </c>
      <c r="B13" s="304">
        <f>'IV. Metodología de asignación'!J86</f>
        <v>65596.282360863188</v>
      </c>
      <c r="C13" s="193">
        <f>'IV. Metodología de asignación'!K86</f>
        <v>64035.325789986266</v>
      </c>
      <c r="D13" s="193">
        <f>'IV. Metodología de asignación'!L86</f>
        <v>34581.318987446211</v>
      </c>
      <c r="E13" s="193">
        <f>'IV. Metodología de asignación'!M86</f>
        <v>25878.160031501098</v>
      </c>
      <c r="F13" s="193">
        <f>'IV. Metodología de asignación'!N86</f>
        <v>110.3324354126231</v>
      </c>
      <c r="G13" s="194">
        <f>'IV. Metodología de asignación'!O86</f>
        <v>4229.0593135795352</v>
      </c>
    </row>
    <row r="14" spans="1:7" ht="15" customHeight="1" x14ac:dyDescent="0.25">
      <c r="A14" s="192" t="s">
        <v>13</v>
      </c>
      <c r="B14" s="304">
        <f>'IV. Metodología de asignación'!J88</f>
        <v>9797.7101275573605</v>
      </c>
      <c r="C14" s="193">
        <f>'IV. Metodología de asignación'!K88</f>
        <v>10182.495114697671</v>
      </c>
      <c r="D14" s="193">
        <f>'IV. Metodología de asignación'!L88</f>
        <v>4607.0994143649705</v>
      </c>
      <c r="E14" s="193">
        <f>'IV. Metodología de asignación'!M88</f>
        <v>5064.1516004392151</v>
      </c>
      <c r="F14" s="193">
        <f>'IV. Metodología de asignación'!N88</f>
        <v>19.619044080232229</v>
      </c>
      <c r="G14" s="194">
        <f>'IV. Metodología de asignación'!O88</f>
        <v>597.11810345272454</v>
      </c>
    </row>
    <row r="15" spans="1:7" ht="15" customHeight="1" x14ac:dyDescent="0.25">
      <c r="A15" s="192" t="s">
        <v>14</v>
      </c>
      <c r="B15" s="304">
        <f>'IV. Metodología de asignación'!J91</f>
        <v>3299.6037782064</v>
      </c>
      <c r="C15" s="193">
        <f>'IV. Metodología de asignación'!K91</f>
        <v>3641.7402149869872</v>
      </c>
      <c r="D15" s="193">
        <f>'IV. Metodología de asignación'!L91</f>
        <v>2085.5363048410809</v>
      </c>
      <c r="E15" s="193">
        <f>'IV. Metodología de asignación'!M91</f>
        <v>793.63853813109665</v>
      </c>
      <c r="F15" s="193">
        <f>'IV. Metodología de asignación'!N91</f>
        <v>83.787849326783004</v>
      </c>
      <c r="G15" s="194">
        <f>'IV. Metodología de asignación'!O91</f>
        <v>802.67255438358711</v>
      </c>
    </row>
    <row r="16" spans="1:7" s="300" customFormat="1" ht="15" customHeight="1" thickBot="1" x14ac:dyDescent="0.3">
      <c r="A16" s="297" t="s">
        <v>15</v>
      </c>
      <c r="B16" s="305">
        <f>'IV. Metodología de asignación'!J95</f>
        <v>13087.610104841418</v>
      </c>
      <c r="C16" s="298">
        <f>'IV. Metodología de asignación'!K95</f>
        <v>14581.340493367559</v>
      </c>
      <c r="D16" s="298">
        <f>'IV. Metodología de asignación'!L95</f>
        <v>6875.1766999647343</v>
      </c>
      <c r="E16" s="298">
        <f>'IV. Metodología de asignación'!M95</f>
        <v>6662.0967996024501</v>
      </c>
      <c r="F16" s="298">
        <f>'IV. Metodología de asignación'!N95</f>
        <v>91.447714456558472</v>
      </c>
      <c r="G16" s="299">
        <f>'IV. Metodología de asignación'!O95</f>
        <v>2323.7181459590752</v>
      </c>
    </row>
    <row r="17" spans="1:11" ht="13.8" thickBot="1" x14ac:dyDescent="0.3">
      <c r="G17" s="239"/>
    </row>
    <row r="18" spans="1:11" ht="24" customHeight="1" x14ac:dyDescent="0.25">
      <c r="A18" s="599" t="s">
        <v>56</v>
      </c>
      <c r="B18" s="611" t="s">
        <v>115</v>
      </c>
      <c r="C18" s="612"/>
      <c r="D18" s="612"/>
      <c r="E18" s="612"/>
      <c r="F18" s="612"/>
      <c r="G18" s="613"/>
    </row>
    <row r="19" spans="1:11" ht="24" customHeight="1" x14ac:dyDescent="0.25">
      <c r="A19" s="600"/>
      <c r="B19" s="185" t="s">
        <v>16</v>
      </c>
      <c r="C19" s="185" t="s">
        <v>17</v>
      </c>
      <c r="D19" s="185" t="s">
        <v>18</v>
      </c>
      <c r="E19" s="185" t="s">
        <v>19</v>
      </c>
      <c r="F19" s="185" t="s">
        <v>20</v>
      </c>
      <c r="G19" s="186" t="s">
        <v>21</v>
      </c>
    </row>
    <row r="20" spans="1:11" ht="15" customHeight="1" x14ac:dyDescent="0.25">
      <c r="A20" s="189" t="s">
        <v>11</v>
      </c>
      <c r="B20" s="303">
        <f>('I. Datos de entrada'!C102+'I. Datos de entrada'!C103)*1000</f>
        <v>13299340.090855259</v>
      </c>
      <c r="C20" s="190">
        <f>('I. Datos de entrada'!D102+'I. Datos de entrada'!D103)*1000</f>
        <v>14949695.224299019</v>
      </c>
      <c r="D20" s="190">
        <f>('I. Datos de entrada'!E102+'I. Datos de entrada'!E103)*1000</f>
        <v>12124734.262163289</v>
      </c>
      <c r="E20" s="190">
        <f>('I. Datos de entrada'!F102+'I. Datos de entrada'!F103)*1000</f>
        <v>14223350.4505085</v>
      </c>
      <c r="F20" s="190">
        <f>('I. Datos de entrada'!G102+'I. Datos de entrada'!G103)*1000</f>
        <v>5785119.6863571592</v>
      </c>
      <c r="G20" s="191">
        <f>('I. Datos de entrada'!H102+'I. Datos de entrada'!H103)*1000</f>
        <v>49393313.394080982</v>
      </c>
    </row>
    <row r="21" spans="1:11" ht="15" customHeight="1" x14ac:dyDescent="0.25">
      <c r="A21" s="192" t="s">
        <v>12</v>
      </c>
      <c r="B21" s="304">
        <f>'I. Datos de entrada'!C104*1000</f>
        <v>7072757.7099391241</v>
      </c>
      <c r="C21" s="193">
        <f>'I. Datos de entrada'!D104*1000</f>
        <v>8409134.7266939711</v>
      </c>
      <c r="D21" s="193">
        <f>'I. Datos de entrada'!E104*1000</f>
        <v>7450615.1074706772</v>
      </c>
      <c r="E21" s="193">
        <f>'I. Datos de entrada'!F104*1000</f>
        <v>8977440.4744101148</v>
      </c>
      <c r="F21" s="193">
        <f>'I. Datos de entrada'!G104*1000</f>
        <v>4318179.2163320277</v>
      </c>
      <c r="G21" s="194">
        <f>'I. Datos de entrada'!H104*1000</f>
        <v>31001496.799615294</v>
      </c>
      <c r="K21" s="318"/>
    </row>
    <row r="22" spans="1:11" ht="15" customHeight="1" x14ac:dyDescent="0.25">
      <c r="A22" s="192" t="s">
        <v>13</v>
      </c>
      <c r="B22" s="304">
        <f>'I. Datos de entrada'!C105*1000</f>
        <v>2126100.9989760602</v>
      </c>
      <c r="C22" s="193">
        <f>'I. Datos de entrada'!D105*1000</f>
        <v>2715569.8203525455</v>
      </c>
      <c r="D22" s="193">
        <f>'I. Datos de entrada'!E105*1000</f>
        <v>2316677.9178714985</v>
      </c>
      <c r="E22" s="193">
        <f>'I. Datos de entrada'!F105*1000</f>
        <v>2863720.6580177299</v>
      </c>
      <c r="F22" s="193">
        <f>'I. Datos de entrada'!G105*1000</f>
        <v>1481271.6546680091</v>
      </c>
      <c r="G22" s="194">
        <f>'I. Datos de entrada'!H105*1000</f>
        <v>11859907.218082454</v>
      </c>
      <c r="K22" s="320"/>
    </row>
    <row r="23" spans="1:11" ht="15" customHeight="1" x14ac:dyDescent="0.25">
      <c r="A23" s="192" t="s">
        <v>14</v>
      </c>
      <c r="B23" s="304">
        <f>'I. Datos de entrada'!C106*1000</f>
        <v>822962.16215613717</v>
      </c>
      <c r="C23" s="193">
        <f>'I. Datos de entrada'!D106*1000</f>
        <v>1062104.4972929859</v>
      </c>
      <c r="D23" s="193">
        <f>'I. Datos de entrada'!E106*1000</f>
        <v>955246.77742184547</v>
      </c>
      <c r="E23" s="193">
        <f>'I. Datos de entrada'!F106*1000</f>
        <v>1199642.537537799</v>
      </c>
      <c r="F23" s="193">
        <f>'I. Datos de entrada'!G106*1000</f>
        <v>610681.25451277907</v>
      </c>
      <c r="G23" s="194">
        <f>'I. Datos de entrada'!H106*1000</f>
        <v>5622032.5561896451</v>
      </c>
    </row>
    <row r="24" spans="1:11" s="300" customFormat="1" ht="15" customHeight="1" thickBot="1" x14ac:dyDescent="0.3">
      <c r="A24" s="297" t="s">
        <v>15</v>
      </c>
      <c r="B24" s="305">
        <f>'I. Datos de entrada'!C107*1000</f>
        <v>1491401.686678353</v>
      </c>
      <c r="C24" s="298">
        <f>'I. Datos de entrada'!D107*1000</f>
        <v>2088164.4658090326</v>
      </c>
      <c r="D24" s="298">
        <f>'I. Datos de entrada'!E107*1000</f>
        <v>1705499.952392509</v>
      </c>
      <c r="E24" s="298">
        <f>'I. Datos de entrada'!F107*1000</f>
        <v>2223991.0214558057</v>
      </c>
      <c r="F24" s="298">
        <f>'I. Datos de entrada'!G107*1000</f>
        <v>1394245.9256797303</v>
      </c>
      <c r="G24" s="299">
        <f>'I. Datos de entrada'!H107*1000</f>
        <v>12427042.103886871</v>
      </c>
    </row>
    <row r="25" spans="1:11" s="300" customFormat="1" ht="15" customHeight="1" thickBot="1" x14ac:dyDescent="0.3">
      <c r="A25" s="555"/>
      <c r="B25" s="556"/>
      <c r="C25" s="556"/>
      <c r="D25" s="556"/>
      <c r="E25" s="556"/>
      <c r="F25" s="556"/>
      <c r="G25" s="556"/>
    </row>
    <row r="26" spans="1:11" s="300" customFormat="1" ht="24" customHeight="1" x14ac:dyDescent="0.25">
      <c r="A26" s="599" t="s">
        <v>56</v>
      </c>
      <c r="B26" s="611" t="s">
        <v>141</v>
      </c>
      <c r="C26" s="612"/>
      <c r="D26" s="612"/>
      <c r="E26" s="612"/>
      <c r="F26" s="612"/>
      <c r="G26" s="613"/>
    </row>
    <row r="27" spans="1:11" s="300" customFormat="1" ht="24" customHeight="1" x14ac:dyDescent="0.25">
      <c r="A27" s="600"/>
      <c r="B27" s="185" t="s">
        <v>16</v>
      </c>
      <c r="C27" s="185" t="s">
        <v>17</v>
      </c>
      <c r="D27" s="185" t="s">
        <v>18</v>
      </c>
      <c r="E27" s="185" t="s">
        <v>19</v>
      </c>
      <c r="F27" s="185" t="s">
        <v>20</v>
      </c>
      <c r="G27" s="186" t="s">
        <v>21</v>
      </c>
    </row>
    <row r="28" spans="1:11" s="300" customFormat="1" ht="15" customHeight="1" x14ac:dyDescent="0.25">
      <c r="A28" s="189" t="s">
        <v>11</v>
      </c>
      <c r="B28" s="306">
        <f>B12/B20</f>
        <v>0</v>
      </c>
      <c r="C28" s="231">
        <f t="shared" ref="C28:G28" si="0">C12/C20</f>
        <v>0</v>
      </c>
      <c r="D28" s="231">
        <f t="shared" si="0"/>
        <v>0</v>
      </c>
      <c r="E28" s="231">
        <f t="shared" si="0"/>
        <v>0</v>
      </c>
      <c r="F28" s="231">
        <f t="shared" si="0"/>
        <v>0</v>
      </c>
      <c r="G28" s="232">
        <f t="shared" si="0"/>
        <v>0</v>
      </c>
    </row>
    <row r="29" spans="1:11" x14ac:dyDescent="0.25">
      <c r="A29" s="192" t="s">
        <v>12</v>
      </c>
      <c r="B29" s="307">
        <f t="shared" ref="B29:G29" si="1">B13/B21</f>
        <v>9.2744987246887872E-3</v>
      </c>
      <c r="C29" s="234">
        <f t="shared" si="1"/>
        <v>7.6149720359114268E-3</v>
      </c>
      <c r="D29" s="234">
        <f t="shared" si="1"/>
        <v>4.6414045670902767E-3</v>
      </c>
      <c r="E29" s="234">
        <f t="shared" si="1"/>
        <v>2.8825766213951406E-3</v>
      </c>
      <c r="F29" s="552">
        <f t="shared" si="1"/>
        <v>2.5550684648596474E-5</v>
      </c>
      <c r="G29" s="235">
        <f t="shared" si="1"/>
        <v>1.3641468155279569E-4</v>
      </c>
    </row>
    <row r="30" spans="1:11" x14ac:dyDescent="0.25">
      <c r="A30" s="192" t="s">
        <v>13</v>
      </c>
      <c r="B30" s="307">
        <f t="shared" ref="B30:G30" si="2">B14/B22</f>
        <v>4.6082994797876399E-3</v>
      </c>
      <c r="C30" s="234">
        <f t="shared" si="2"/>
        <v>3.7496716300138219E-3</v>
      </c>
      <c r="D30" s="234">
        <f t="shared" si="2"/>
        <v>1.9886663479737614E-3</v>
      </c>
      <c r="E30" s="234">
        <f t="shared" si="2"/>
        <v>1.7683818378935834E-3</v>
      </c>
      <c r="F30" s="552">
        <f t="shared" si="2"/>
        <v>1.3244730646404868E-5</v>
      </c>
      <c r="G30" s="235">
        <f t="shared" si="2"/>
        <v>5.034762013503074E-5</v>
      </c>
    </row>
    <row r="31" spans="1:11" x14ac:dyDescent="0.25">
      <c r="A31" s="192" t="s">
        <v>14</v>
      </c>
      <c r="B31" s="307">
        <f t="shared" ref="B31:G31" si="3">B15/B23</f>
        <v>4.0094234339541606E-3</v>
      </c>
      <c r="C31" s="234">
        <f t="shared" si="3"/>
        <v>3.4287965301613801E-3</v>
      </c>
      <c r="D31" s="234">
        <f t="shared" si="3"/>
        <v>2.1832434865363482E-3</v>
      </c>
      <c r="E31" s="234">
        <f t="shared" si="3"/>
        <v>6.6156251824814132E-4</v>
      </c>
      <c r="F31" s="552">
        <f t="shared" si="3"/>
        <v>1.3720389926432508E-4</v>
      </c>
      <c r="G31" s="235">
        <f t="shared" si="3"/>
        <v>1.4277266208639704E-4</v>
      </c>
    </row>
    <row r="32" spans="1:11" ht="13.8" thickBot="1" x14ac:dyDescent="0.3">
      <c r="A32" s="297" t="s">
        <v>15</v>
      </c>
      <c r="B32" s="308">
        <f t="shared" ref="B32:G32" si="4">B16/B24</f>
        <v>8.7753756896910302E-3</v>
      </c>
      <c r="C32" s="301">
        <f t="shared" si="4"/>
        <v>6.982850600188815E-3</v>
      </c>
      <c r="D32" s="301">
        <f t="shared" si="4"/>
        <v>4.0311796492987885E-3</v>
      </c>
      <c r="E32" s="301">
        <f t="shared" si="4"/>
        <v>2.9955592155410313E-3</v>
      </c>
      <c r="F32" s="301">
        <f t="shared" si="4"/>
        <v>6.5589371840534802E-5</v>
      </c>
      <c r="G32" s="302">
        <f t="shared" si="4"/>
        <v>1.8698883664619386E-4</v>
      </c>
    </row>
    <row r="33" spans="1:16" x14ac:dyDescent="0.25">
      <c r="A33" s="555"/>
      <c r="B33" s="557"/>
      <c r="C33" s="557"/>
      <c r="D33" s="557"/>
      <c r="E33" s="557"/>
      <c r="F33" s="557"/>
      <c r="G33" s="557"/>
    </row>
    <row r="34" spans="1:16" ht="25.5" customHeight="1" thickBot="1" x14ac:dyDescent="0.3">
      <c r="A34" s="610" t="s">
        <v>229</v>
      </c>
      <c r="B34" s="610"/>
      <c r="C34" s="610"/>
      <c r="D34" s="610"/>
      <c r="E34" s="610"/>
      <c r="F34" s="610"/>
      <c r="G34" s="610"/>
    </row>
    <row r="35" spans="1:16" ht="30" customHeight="1" x14ac:dyDescent="0.25">
      <c r="A35" s="599" t="s">
        <v>56</v>
      </c>
      <c r="B35" s="611" t="s">
        <v>230</v>
      </c>
      <c r="C35" s="612"/>
      <c r="D35" s="612"/>
      <c r="E35" s="612"/>
      <c r="F35" s="612"/>
      <c r="G35" s="613"/>
    </row>
    <row r="36" spans="1:16" ht="30" customHeight="1" x14ac:dyDescent="0.25">
      <c r="A36" s="600"/>
      <c r="B36" s="185" t="s">
        <v>16</v>
      </c>
      <c r="C36" s="185" t="s">
        <v>17</v>
      </c>
      <c r="D36" s="185" t="s">
        <v>18</v>
      </c>
      <c r="E36" s="185" t="s">
        <v>19</v>
      </c>
      <c r="F36" s="185" t="s">
        <v>20</v>
      </c>
      <c r="G36" s="186" t="s">
        <v>21</v>
      </c>
    </row>
    <row r="37" spans="1:16" ht="15" customHeight="1" x14ac:dyDescent="0.25">
      <c r="A37" s="189" t="s">
        <v>11</v>
      </c>
      <c r="B37" s="306">
        <f t="shared" ref="B37:G41" si="5">B12/B20</f>
        <v>0</v>
      </c>
      <c r="C37" s="231">
        <f t="shared" si="5"/>
        <v>0</v>
      </c>
      <c r="D37" s="231">
        <f t="shared" si="5"/>
        <v>0</v>
      </c>
      <c r="E37" s="231">
        <f t="shared" si="5"/>
        <v>0</v>
      </c>
      <c r="F37" s="231">
        <f t="shared" si="5"/>
        <v>0</v>
      </c>
      <c r="G37" s="232">
        <f t="shared" si="5"/>
        <v>0</v>
      </c>
      <c r="I37" s="405"/>
      <c r="J37" s="405"/>
      <c r="K37" s="405"/>
      <c r="L37" s="405"/>
      <c r="M37" s="405"/>
      <c r="N37" s="405"/>
      <c r="O37" s="405"/>
      <c r="P37" s="405"/>
    </row>
    <row r="38" spans="1:16" ht="15" customHeight="1" x14ac:dyDescent="0.25">
      <c r="A38" s="192" t="s">
        <v>12</v>
      </c>
      <c r="B38" s="307">
        <f>B13/B21</f>
        <v>9.2744987246887872E-3</v>
      </c>
      <c r="C38" s="234">
        <f t="shared" si="5"/>
        <v>7.6149720359114268E-3</v>
      </c>
      <c r="D38" s="234">
        <f t="shared" si="5"/>
        <v>4.6414045670902767E-3</v>
      </c>
      <c r="E38" s="234">
        <f t="shared" si="5"/>
        <v>2.8825766213951406E-3</v>
      </c>
      <c r="F38" s="552">
        <f>SUM(F13:G13)/SUM(F21:G21)</f>
        <v>1.2286046301876788E-4</v>
      </c>
      <c r="G38" s="235">
        <f>F38</f>
        <v>1.2286046301876788E-4</v>
      </c>
      <c r="I38" s="405"/>
      <c r="J38" s="405"/>
      <c r="K38" s="405"/>
      <c r="L38" s="405"/>
      <c r="M38" s="405"/>
      <c r="N38" s="405"/>
      <c r="O38" s="405"/>
      <c r="P38" s="405"/>
    </row>
    <row r="39" spans="1:16" ht="15" customHeight="1" x14ac:dyDescent="0.25">
      <c r="A39" s="192" t="s">
        <v>13</v>
      </c>
      <c r="B39" s="307">
        <f t="shared" si="5"/>
        <v>4.6082994797876399E-3</v>
      </c>
      <c r="C39" s="234">
        <f t="shared" si="5"/>
        <v>3.7496716300138219E-3</v>
      </c>
      <c r="D39" s="234">
        <f t="shared" si="5"/>
        <v>1.9886663479737614E-3</v>
      </c>
      <c r="E39" s="234">
        <f t="shared" si="5"/>
        <v>1.7683818378935834E-3</v>
      </c>
      <c r="F39" s="552">
        <f>SUM(F14:G14)/SUM(F22:G22)</f>
        <v>4.6228084745393129E-5</v>
      </c>
      <c r="G39" s="235">
        <f>F39</f>
        <v>4.6228084745393129E-5</v>
      </c>
      <c r="I39" s="405"/>
      <c r="J39" s="405"/>
      <c r="K39" s="405"/>
      <c r="L39" s="405"/>
      <c r="M39" s="405"/>
      <c r="N39" s="405"/>
      <c r="O39" s="405"/>
      <c r="P39" s="405"/>
    </row>
    <row r="40" spans="1:16" ht="15" customHeight="1" x14ac:dyDescent="0.25">
      <c r="A40" s="192" t="s">
        <v>14</v>
      </c>
      <c r="B40" s="307">
        <f t="shared" si="5"/>
        <v>4.0094234339541606E-3</v>
      </c>
      <c r="C40" s="234">
        <f t="shared" si="5"/>
        <v>3.4287965301613801E-3</v>
      </c>
      <c r="D40" s="234">
        <f t="shared" si="5"/>
        <v>2.1832434865363482E-3</v>
      </c>
      <c r="E40" s="234">
        <f t="shared" si="5"/>
        <v>6.6156251824814132E-4</v>
      </c>
      <c r="F40" s="552">
        <f>SUM(F15:G15)/SUM(F23:G23)</f>
        <v>1.4222703474499278E-4</v>
      </c>
      <c r="G40" s="235">
        <f>F40</f>
        <v>1.4222703474499278E-4</v>
      </c>
      <c r="I40" s="405"/>
      <c r="J40" s="405"/>
      <c r="K40" s="405"/>
      <c r="L40" s="405"/>
      <c r="M40" s="405"/>
      <c r="N40" s="405"/>
      <c r="O40" s="405"/>
      <c r="P40" s="405"/>
    </row>
    <row r="41" spans="1:16" s="300" customFormat="1" ht="15" customHeight="1" thickBot="1" x14ac:dyDescent="0.3">
      <c r="A41" s="297" t="s">
        <v>15</v>
      </c>
      <c r="B41" s="308">
        <f t="shared" si="5"/>
        <v>8.7753756896910302E-3</v>
      </c>
      <c r="C41" s="301">
        <f t="shared" si="5"/>
        <v>6.982850600188815E-3</v>
      </c>
      <c r="D41" s="301">
        <f t="shared" si="5"/>
        <v>4.0311796492987885E-3</v>
      </c>
      <c r="E41" s="301">
        <f t="shared" si="5"/>
        <v>2.9955592155410313E-3</v>
      </c>
      <c r="F41" s="301">
        <f>SUM(F16:G16)/SUM(F24:G24)</f>
        <v>1.7474245925915827E-4</v>
      </c>
      <c r="G41" s="302">
        <f>F41</f>
        <v>1.7474245925915827E-4</v>
      </c>
      <c r="I41" s="405"/>
      <c r="J41" s="405"/>
      <c r="K41" s="405"/>
      <c r="L41" s="405"/>
      <c r="M41" s="405"/>
      <c r="N41" s="405"/>
      <c r="O41" s="405"/>
      <c r="P41" s="405"/>
    </row>
    <row r="43" spans="1:16" x14ac:dyDescent="0.25">
      <c r="B43" s="239"/>
      <c r="C43" s="239"/>
      <c r="D43" s="239"/>
      <c r="E43" s="239"/>
      <c r="F43" s="558"/>
      <c r="G43" s="558"/>
    </row>
    <row r="44" spans="1:16" x14ac:dyDescent="0.25">
      <c r="B44" s="239"/>
      <c r="C44" s="239"/>
      <c r="D44" s="239"/>
      <c r="E44" s="239"/>
      <c r="F44" s="558"/>
      <c r="G44" s="558"/>
    </row>
    <row r="45" spans="1:16" x14ac:dyDescent="0.25">
      <c r="B45" s="239"/>
      <c r="C45" s="239"/>
      <c r="D45" s="239"/>
      <c r="E45" s="239"/>
      <c r="F45" s="558"/>
      <c r="G45" s="558"/>
    </row>
    <row r="46" spans="1:16" x14ac:dyDescent="0.25">
      <c r="B46" s="239"/>
      <c r="C46" s="239"/>
      <c r="D46" s="239"/>
      <c r="E46" s="239"/>
      <c r="F46" s="558"/>
      <c r="G46" s="558"/>
    </row>
    <row r="47" spans="1:16" x14ac:dyDescent="0.25">
      <c r="B47" s="239"/>
      <c r="C47" s="239"/>
      <c r="D47" s="239"/>
      <c r="E47" s="239"/>
      <c r="F47" s="558"/>
      <c r="G47" s="558"/>
    </row>
    <row r="48" spans="1:16" x14ac:dyDescent="0.25">
      <c r="B48" s="239"/>
      <c r="C48" s="239"/>
      <c r="D48" s="239"/>
      <c r="E48" s="239"/>
      <c r="F48" s="558"/>
      <c r="G48" s="558"/>
    </row>
  </sheetData>
  <mergeCells count="10">
    <mergeCell ref="A10:A11"/>
    <mergeCell ref="A18:A19"/>
    <mergeCell ref="A35:A36"/>
    <mergeCell ref="A6:G6"/>
    <mergeCell ref="A26:A27"/>
    <mergeCell ref="A34:G34"/>
    <mergeCell ref="B26:G26"/>
    <mergeCell ref="B18:G18"/>
    <mergeCell ref="B10:G10"/>
    <mergeCell ref="B35:G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IX. Peajes VE</vt:lpstr>
      <vt:lpstr>VIII. Pagos autoconsumo próximo</vt:lpstr>
      <vt:lpstr>'IIb. Balances de energía'!Área_de_impresión</vt:lpstr>
      <vt:lpstr>'Va. Peajes transporte'!Área_de_impresión</vt:lpstr>
      <vt:lpstr>'Vb. Peajes distribución'!Área_de_impresión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lastModifiedBy/>
  <dcterms:created xsi:type="dcterms:W3CDTF">2019-11-27T14:11:12Z</dcterms:created>
  <dcterms:modified xsi:type="dcterms:W3CDTF">2021-01-27T13:18:45Z</dcterms:modified>
</cp:coreProperties>
</file>