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codeName="ThisWorkbook" defaultThemeVersion="124226"/>
  <xr:revisionPtr revIDLastSave="0" documentId="13_ncr:1_{25727333-DFD0-4122-BC46-76B40BAF19D1}" xr6:coauthVersionLast="46" xr6:coauthVersionMax="47" xr10:uidLastSave="{00000000-0000-0000-0000-000000000000}"/>
  <bookViews>
    <workbookView xWindow="23880" yWindow="-120" windowWidth="19440" windowHeight="15000" tabRatio="616" xr2:uid="{00000000-000D-0000-FFFF-FFFF00000000}"/>
  </bookViews>
  <sheets>
    <sheet name="I. Datos de entrada" sheetId="1" r:id="rId1"/>
    <sheet name="IIa. Balances de Potencia" sheetId="58" r:id="rId2"/>
    <sheet name="IIb. Balances de energía" sheetId="59" r:id="rId3"/>
    <sheet name="IIIa. Coeficientes Potencia" sheetId="61" r:id="rId4"/>
    <sheet name="IIIb. Coeficientes Energía" sheetId="60" r:id="rId5"/>
    <sheet name="IV. Metodología de asignación" sheetId="62" r:id="rId6"/>
    <sheet name="Va. Peajes transporte" sheetId="64" r:id="rId7"/>
    <sheet name="Vb. Peajes distribución" sheetId="65" r:id="rId8"/>
    <sheet name="VI. Diseño del Peaje 2.0 TD" sheetId="71" r:id="rId9"/>
    <sheet name="VII. Peajes T&amp;D" sheetId="66" r:id="rId10"/>
    <sheet name="VIII. Pagos autoconsumo próximo" sheetId="67" r:id="rId11"/>
    <sheet name="IX. Peajes VE" sheetId="72" r:id="rId12"/>
  </sheets>
  <externalReferences>
    <externalReference r:id="rId13"/>
    <externalReference r:id="rId14"/>
  </externalReferences>
  <definedNames>
    <definedName name="_Ref181078917" localSheetId="3">#REF!</definedName>
    <definedName name="_Ref181078917" localSheetId="7">#REF!</definedName>
    <definedName name="_Ref181078917">#REF!</definedName>
    <definedName name="_xlnm.Print_Area" localSheetId="2">'IIb. Balances de energía'!$A$6:$K$72</definedName>
    <definedName name="Cuotas2" localSheetId="3">'[1]DATOS ADICIONALES (€) - TOTAL'!#REF!</definedName>
    <definedName name="Cuotas2" localSheetId="7">'[1]DATOS ADICIONALES (€) - TOTAL'!#REF!</definedName>
    <definedName name="Cuotas2">'[1]DATOS ADICIONALES (€) - TOTAL'!#REF!</definedName>
    <definedName name="EURO">'[1]DATOS ADICIONALES (€) - TOTAL'!#REF!</definedName>
    <definedName name="gg" localSheetId="3">'[2]DATOS ADICIONALES (€) - TOTAL'!#REF!</definedName>
    <definedName name="gg" localSheetId="7">'[2]DATOS ADICIONALES (€) - TOTAL'!#REF!</definedName>
    <definedName name="gg">'[2]DATOS ADICIONALES (€) - TOTAL'!#REF!</definedName>
    <definedName name="tt" localSheetId="3">#REF!</definedName>
    <definedName name="tt" localSheetId="7">#REF!</definedName>
    <definedName name="t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F81" i="1" l="1"/>
  <c r="D76" i="1" l="1"/>
  <c r="F76" i="1"/>
  <c r="B76" i="1"/>
  <c r="E76" i="1"/>
  <c r="C76" i="1"/>
  <c r="C101" i="1" l="1"/>
  <c r="C122" i="1"/>
  <c r="G122" i="1"/>
  <c r="D122" i="1"/>
  <c r="H122" i="1"/>
  <c r="E122" i="1"/>
  <c r="F122" i="1"/>
  <c r="I19" i="61"/>
  <c r="I15" i="61"/>
  <c r="I20" i="61" s="1"/>
  <c r="D15" i="61"/>
  <c r="I26" i="66" l="1"/>
  <c r="J26" i="66"/>
  <c r="K26" i="66"/>
  <c r="L26" i="66"/>
  <c r="M26" i="66"/>
  <c r="N26" i="66"/>
  <c r="B26" i="66"/>
  <c r="C26" i="66"/>
  <c r="D26" i="66"/>
  <c r="E26" i="66"/>
  <c r="F26" i="66"/>
  <c r="G26" i="66"/>
  <c r="C47" i="72" l="1"/>
  <c r="C15" i="72"/>
  <c r="C13" i="72"/>
  <c r="B46" i="71" l="1"/>
  <c r="B45" i="71"/>
  <c r="B44" i="71" l="1"/>
  <c r="D101" i="1"/>
  <c r="G101" i="1"/>
  <c r="I100" i="1"/>
  <c r="H101" i="1"/>
  <c r="E101" i="1"/>
  <c r="F101" i="1"/>
  <c r="F15" i="61" l="1"/>
  <c r="F20" i="61" s="1"/>
  <c r="B11" i="71"/>
  <c r="G19" i="61"/>
  <c r="D15" i="60"/>
  <c r="D20" i="60" s="1"/>
  <c r="H15" i="60"/>
  <c r="H20" i="60" s="1"/>
  <c r="F19" i="61"/>
  <c r="G15" i="61"/>
  <c r="H12" i="61"/>
  <c r="D19" i="60"/>
  <c r="H15" i="61"/>
  <c r="F15" i="60"/>
  <c r="F20" i="60" s="1"/>
  <c r="E15" i="60"/>
  <c r="E20" i="60" s="1"/>
  <c r="I15" i="60"/>
  <c r="I20" i="60" s="1"/>
  <c r="F11" i="71"/>
  <c r="G11" i="71"/>
  <c r="C11" i="71"/>
  <c r="E11" i="71"/>
  <c r="D11" i="71"/>
  <c r="I101" i="1"/>
  <c r="G20" i="61" l="1"/>
  <c r="E15" i="61"/>
  <c r="H16" i="61"/>
  <c r="G17" i="58"/>
  <c r="H12" i="58" s="1"/>
  <c r="H19" i="62"/>
  <c r="G19" i="62"/>
  <c r="F19" i="62"/>
  <c r="E19" i="62"/>
  <c r="D19" i="62"/>
  <c r="H21" i="61" l="1"/>
  <c r="C49" i="72"/>
  <c r="B25" i="71" l="1"/>
  <c r="D25" i="71"/>
  <c r="E27" i="71"/>
  <c r="G26" i="71"/>
  <c r="C26" i="71"/>
  <c r="G25" i="71"/>
  <c r="C25" i="71"/>
  <c r="D27" i="71"/>
  <c r="F26" i="71"/>
  <c r="B26" i="71"/>
  <c r="F25" i="71"/>
  <c r="G27" i="71"/>
  <c r="C27" i="71"/>
  <c r="E26" i="71"/>
  <c r="E25" i="71"/>
  <c r="F27" i="71"/>
  <c r="B27" i="71"/>
  <c r="D26" i="71"/>
  <c r="C28" i="71" l="1"/>
  <c r="D28" i="71"/>
  <c r="G28" i="71"/>
  <c r="F28" i="71"/>
  <c r="B28" i="71"/>
  <c r="E28" i="71"/>
  <c r="C105" i="66"/>
  <c r="H85" i="62" l="1"/>
  <c r="G85" i="62"/>
  <c r="F85" i="62"/>
  <c r="E85" i="62"/>
  <c r="D85" i="62"/>
  <c r="C85" i="62"/>
  <c r="D65" i="62"/>
  <c r="E65" i="62"/>
  <c r="F65" i="62"/>
  <c r="G65" i="62"/>
  <c r="H65" i="62"/>
  <c r="C65" i="62"/>
  <c r="H22" i="62"/>
  <c r="G22" i="62"/>
  <c r="F22" i="62"/>
  <c r="E22" i="62"/>
  <c r="D22" i="62"/>
  <c r="B17" i="58" l="1"/>
  <c r="B72" i="59"/>
  <c r="F72" i="59" l="1"/>
  <c r="J71" i="59" s="1"/>
  <c r="E11" i="61"/>
  <c r="J12" i="58"/>
  <c r="C61" i="58"/>
  <c r="J57" i="58" s="1"/>
  <c r="C17" i="58"/>
  <c r="J13" i="58" s="1"/>
  <c r="D20" i="61"/>
  <c r="E10" i="61"/>
  <c r="D10" i="61"/>
  <c r="F28" i="59"/>
  <c r="J27" i="59" s="1"/>
  <c r="I12" i="60"/>
  <c r="E72" i="59"/>
  <c r="J70" i="59" s="1"/>
  <c r="J23" i="58"/>
  <c r="I72" i="58"/>
  <c r="G61" i="59"/>
  <c r="I11" i="60"/>
  <c r="I14" i="60" s="1"/>
  <c r="I18" i="60" s="1"/>
  <c r="I23" i="60" s="1"/>
  <c r="H10" i="61"/>
  <c r="I10" i="61"/>
  <c r="H10" i="60"/>
  <c r="I72" i="59"/>
  <c r="F10" i="60"/>
  <c r="G10" i="60"/>
  <c r="D19" i="61"/>
  <c r="F17" i="58"/>
  <c r="J16" i="58" s="1"/>
  <c r="D12" i="61"/>
  <c r="D17" i="58"/>
  <c r="J14" i="58" s="1"/>
  <c r="I17" i="58"/>
  <c r="E19" i="61"/>
  <c r="F28" i="58"/>
  <c r="J27" i="58" s="1"/>
  <c r="C28" i="58"/>
  <c r="J24" i="58" s="1"/>
  <c r="E12" i="61"/>
  <c r="D28" i="58"/>
  <c r="J25" i="58" s="1"/>
  <c r="I28" i="58"/>
  <c r="B61" i="58"/>
  <c r="B50" i="59"/>
  <c r="C61" i="59"/>
  <c r="J57" i="59" s="1"/>
  <c r="G72" i="59"/>
  <c r="C72" i="59"/>
  <c r="J68" i="59" s="1"/>
  <c r="E17" i="58"/>
  <c r="J15" i="58" s="1"/>
  <c r="G28" i="58"/>
  <c r="H11" i="61"/>
  <c r="J56" i="58"/>
  <c r="F61" i="58"/>
  <c r="J60" i="58" s="1"/>
  <c r="D61" i="58"/>
  <c r="J58" i="58" s="1"/>
  <c r="I61" i="58"/>
  <c r="E72" i="58"/>
  <c r="J70" i="58" s="1"/>
  <c r="F72" i="58"/>
  <c r="J71" i="58" s="1"/>
  <c r="C72" i="58"/>
  <c r="J68" i="58" s="1"/>
  <c r="D72" i="58"/>
  <c r="J69" i="58" s="1"/>
  <c r="F61" i="59"/>
  <c r="J60" i="59" s="1"/>
  <c r="B61" i="59"/>
  <c r="I10" i="60"/>
  <c r="I11" i="61"/>
  <c r="D72" i="59"/>
  <c r="J69" i="59" s="1"/>
  <c r="J67" i="59"/>
  <c r="G72" i="58"/>
  <c r="F10" i="61"/>
  <c r="J67" i="58"/>
  <c r="I12" i="61"/>
  <c r="H19" i="61"/>
  <c r="E61" i="58"/>
  <c r="J59" i="58" s="1"/>
  <c r="F11" i="61"/>
  <c r="E28" i="58"/>
  <c r="J26" i="58" s="1"/>
  <c r="D11" i="61"/>
  <c r="B28" i="58"/>
  <c r="B72" i="58"/>
  <c r="H13" i="58"/>
  <c r="G61" i="58"/>
  <c r="F50" i="59"/>
  <c r="J49" i="59" s="1"/>
  <c r="I61" i="59"/>
  <c r="E10" i="60"/>
  <c r="B28" i="59"/>
  <c r="H12" i="60"/>
  <c r="H19" i="60"/>
  <c r="C50" i="59"/>
  <c r="J46" i="59" s="1"/>
  <c r="G12" i="60"/>
  <c r="E61" i="59"/>
  <c r="J59" i="59" s="1"/>
  <c r="H11" i="60"/>
  <c r="H14" i="60" s="1"/>
  <c r="H18" i="60" s="1"/>
  <c r="H23" i="60" s="1"/>
  <c r="I19" i="60"/>
  <c r="C39" i="59"/>
  <c r="J35" i="59" s="1"/>
  <c r="F11" i="60"/>
  <c r="F14" i="60" s="1"/>
  <c r="F18" i="60" s="1"/>
  <c r="F23" i="60" s="1"/>
  <c r="B39" i="59"/>
  <c r="G50" i="59"/>
  <c r="G11" i="60"/>
  <c r="G14" i="60" s="1"/>
  <c r="G18" i="60" s="1"/>
  <c r="G23" i="60" s="1"/>
  <c r="E39" i="59"/>
  <c r="J37" i="59" s="1"/>
  <c r="I50" i="59"/>
  <c r="E50" i="59"/>
  <c r="J48" i="59" s="1"/>
  <c r="D61" i="59"/>
  <c r="J58" i="59" s="1"/>
  <c r="J56" i="59"/>
  <c r="I39" i="59"/>
  <c r="G15" i="60"/>
  <c r="G20" i="60" s="1"/>
  <c r="J45" i="59"/>
  <c r="J34" i="59"/>
  <c r="G39" i="59"/>
  <c r="F19" i="60"/>
  <c r="G19" i="60"/>
  <c r="G28" i="59"/>
  <c r="C28" i="59"/>
  <c r="J24" i="59" s="1"/>
  <c r="F39" i="59"/>
  <c r="J38" i="59" s="1"/>
  <c r="F12" i="60"/>
  <c r="D50" i="59"/>
  <c r="J47" i="59" s="1"/>
  <c r="D10" i="60"/>
  <c r="D11" i="60"/>
  <c r="D14" i="60" s="1"/>
  <c r="D18" i="60" s="1"/>
  <c r="D23" i="60" s="1"/>
  <c r="E19" i="60"/>
  <c r="J23" i="59"/>
  <c r="D39" i="59"/>
  <c r="J36" i="59" s="1"/>
  <c r="I28" i="59"/>
  <c r="D28" i="59"/>
  <c r="J25" i="59" s="1"/>
  <c r="E12" i="60"/>
  <c r="E28" i="59"/>
  <c r="J26" i="59" s="1"/>
  <c r="E11" i="60"/>
  <c r="E14" i="60" s="1"/>
  <c r="E18" i="60" s="1"/>
  <c r="E23" i="60" s="1"/>
  <c r="E17" i="59"/>
  <c r="J15" i="59" s="1"/>
  <c r="C17" i="59"/>
  <c r="J13" i="59" s="1"/>
  <c r="D12" i="60"/>
  <c r="B17" i="59"/>
  <c r="F17" i="59"/>
  <c r="J16" i="59" s="1"/>
  <c r="I17" i="59"/>
  <c r="D17" i="59"/>
  <c r="J14" i="59" s="1"/>
  <c r="J12" i="59"/>
  <c r="G17" i="59"/>
  <c r="I16" i="61" l="1"/>
  <c r="I21" i="61" s="1"/>
  <c r="I16" i="60"/>
  <c r="I21" i="60"/>
  <c r="F21" i="60"/>
  <c r="D21" i="60"/>
  <c r="D16" i="61"/>
  <c r="H14" i="61"/>
  <c r="H18" i="61" s="1"/>
  <c r="H23" i="61" s="1"/>
  <c r="E16" i="61"/>
  <c r="F16" i="60"/>
  <c r="H13" i="61"/>
  <c r="E13" i="61"/>
  <c r="G16" i="60"/>
  <c r="G21" i="60" s="1"/>
  <c r="D16" i="60"/>
  <c r="E16" i="60"/>
  <c r="E21" i="60" s="1"/>
  <c r="H16" i="60"/>
  <c r="H21" i="60" s="1"/>
  <c r="H69" i="59"/>
  <c r="H68" i="59"/>
  <c r="H67" i="59"/>
  <c r="H71" i="59"/>
  <c r="H70" i="59"/>
  <c r="H59" i="59"/>
  <c r="H58" i="59"/>
  <c r="H57" i="59"/>
  <c r="H56" i="59"/>
  <c r="H60" i="59"/>
  <c r="H47" i="59"/>
  <c r="H45" i="59"/>
  <c r="H46" i="59"/>
  <c r="H49" i="59"/>
  <c r="H48" i="59"/>
  <c r="H38" i="59"/>
  <c r="H37" i="59"/>
  <c r="H36" i="59"/>
  <c r="H35" i="59"/>
  <c r="H34" i="59"/>
  <c r="H25" i="59"/>
  <c r="H24" i="59"/>
  <c r="H27" i="59"/>
  <c r="H26" i="59"/>
  <c r="H23" i="59"/>
  <c r="H12" i="59"/>
  <c r="H16" i="59"/>
  <c r="H14" i="59"/>
  <c r="H13" i="59"/>
  <c r="H15" i="59"/>
  <c r="H68" i="58"/>
  <c r="H67" i="58"/>
  <c r="H69" i="58"/>
  <c r="H71" i="58"/>
  <c r="H70" i="58"/>
  <c r="H59" i="58"/>
  <c r="H58" i="58"/>
  <c r="H57" i="58"/>
  <c r="H56" i="58"/>
  <c r="H60" i="58"/>
  <c r="H23" i="58"/>
  <c r="H24" i="58"/>
  <c r="H25" i="58"/>
  <c r="H26" i="58"/>
  <c r="H27" i="58"/>
  <c r="D88" i="62"/>
  <c r="H95" i="62"/>
  <c r="D86" i="62"/>
  <c r="C68" i="62"/>
  <c r="H88" i="62"/>
  <c r="C71" i="62"/>
  <c r="D67" i="62"/>
  <c r="D95" i="62"/>
  <c r="E91" i="62"/>
  <c r="G95" i="62"/>
  <c r="G75" i="62"/>
  <c r="E66" i="62"/>
  <c r="D75" i="62"/>
  <c r="F86" i="62"/>
  <c r="H66" i="62"/>
  <c r="F91" i="62"/>
  <c r="G88" i="62"/>
  <c r="G66" i="62"/>
  <c r="C66" i="62"/>
  <c r="E95" i="62"/>
  <c r="D87" i="62"/>
  <c r="E88" i="62"/>
  <c r="D91" i="62"/>
  <c r="E67" i="62"/>
  <c r="G68" i="62"/>
  <c r="H75" i="62"/>
  <c r="D68" i="62"/>
  <c r="F95" i="62"/>
  <c r="F87" i="62"/>
  <c r="F88" i="62"/>
  <c r="H68" i="62"/>
  <c r="H87" i="62"/>
  <c r="D66" i="62"/>
  <c r="C76" i="62"/>
  <c r="C75" i="62"/>
  <c r="F12" i="61"/>
  <c r="E14" i="61"/>
  <c r="E18" i="61" s="1"/>
  <c r="E23" i="61" s="1"/>
  <c r="D13" i="61"/>
  <c r="E13" i="60"/>
  <c r="E17" i="60" s="1"/>
  <c r="E22" i="60" s="1"/>
  <c r="I13" i="61"/>
  <c r="I17" i="61" s="1"/>
  <c r="I22" i="61" s="1"/>
  <c r="E87" i="62"/>
  <c r="I13" i="60"/>
  <c r="I17" i="60" s="1"/>
  <c r="I22" i="60" s="1"/>
  <c r="H86" i="62"/>
  <c r="F13" i="60"/>
  <c r="F17" i="60" s="1"/>
  <c r="F22" i="60" s="1"/>
  <c r="E86" i="62"/>
  <c r="G13" i="60"/>
  <c r="G17" i="60" s="1"/>
  <c r="G22" i="60" s="1"/>
  <c r="G91" i="62"/>
  <c r="H91" i="62"/>
  <c r="G87" i="62"/>
  <c r="H13" i="60"/>
  <c r="H17" i="60" s="1"/>
  <c r="H22" i="60" s="1"/>
  <c r="G86" i="62"/>
  <c r="H71" i="62"/>
  <c r="G67" i="62"/>
  <c r="E20" i="61"/>
  <c r="D71" i="62"/>
  <c r="H20" i="61"/>
  <c r="G71" i="62"/>
  <c r="D14" i="61"/>
  <c r="D18" i="61" s="1"/>
  <c r="D23" i="61" s="1"/>
  <c r="C67" i="62"/>
  <c r="I14" i="61"/>
  <c r="I18" i="61" s="1"/>
  <c r="I23" i="61" s="1"/>
  <c r="H67" i="62"/>
  <c r="C91" i="62"/>
  <c r="C86" i="62"/>
  <c r="C88" i="62"/>
  <c r="C95" i="62"/>
  <c r="C87" i="62"/>
  <c r="F13" i="61"/>
  <c r="F14" i="61"/>
  <c r="C39" i="58"/>
  <c r="F39" i="58"/>
  <c r="H14" i="58"/>
  <c r="H16" i="58"/>
  <c r="H15" i="58"/>
  <c r="D13" i="60"/>
  <c r="D17" i="60" s="1"/>
  <c r="D22" i="60" s="1"/>
  <c r="H17" i="61" l="1"/>
  <c r="F17" i="61"/>
  <c r="F16" i="61"/>
  <c r="F18" i="61"/>
  <c r="F23" i="61" s="1"/>
  <c r="D17" i="61"/>
  <c r="E17" i="61"/>
  <c r="D69" i="62"/>
  <c r="G70" i="62"/>
  <c r="G96" i="62"/>
  <c r="C69" i="62"/>
  <c r="D96" i="62"/>
  <c r="E96" i="62"/>
  <c r="G77" i="62"/>
  <c r="G72" i="62"/>
  <c r="G76" i="62"/>
  <c r="G90" i="62"/>
  <c r="H96" i="62"/>
  <c r="F89" i="62"/>
  <c r="H89" i="62"/>
  <c r="H69" i="62"/>
  <c r="G69" i="62"/>
  <c r="D70" i="62"/>
  <c r="D90" i="62"/>
  <c r="E70" i="62"/>
  <c r="G89" i="62"/>
  <c r="H70" i="62"/>
  <c r="F96" i="62"/>
  <c r="H90" i="62"/>
  <c r="D89" i="62"/>
  <c r="C72" i="62"/>
  <c r="E68" i="62"/>
  <c r="F90" i="62"/>
  <c r="E69" i="62"/>
  <c r="D76" i="62"/>
  <c r="H76" i="62"/>
  <c r="E89" i="62"/>
  <c r="E90" i="62"/>
  <c r="H72" i="62"/>
  <c r="D21" i="61"/>
  <c r="H72" i="59"/>
  <c r="H61" i="59"/>
  <c r="H72" i="58"/>
  <c r="H28" i="58"/>
  <c r="C70" i="62"/>
  <c r="J38" i="58"/>
  <c r="E21" i="61"/>
  <c r="D72" i="62"/>
  <c r="F92" i="62"/>
  <c r="C92" i="62"/>
  <c r="D92" i="62"/>
  <c r="C89" i="62"/>
  <c r="H92" i="62"/>
  <c r="C90" i="62"/>
  <c r="E92" i="62"/>
  <c r="C96" i="62"/>
  <c r="G92" i="62"/>
  <c r="H28" i="59"/>
  <c r="G10" i="61"/>
  <c r="E50" i="58"/>
  <c r="J48" i="58" s="1"/>
  <c r="F50" i="58"/>
  <c r="B50" i="58"/>
  <c r="G12" i="61"/>
  <c r="C50" i="58"/>
  <c r="J46" i="58" s="1"/>
  <c r="G11" i="61"/>
  <c r="D39" i="58"/>
  <c r="H61" i="58"/>
  <c r="H17" i="58"/>
  <c r="H50" i="59"/>
  <c r="H39" i="59"/>
  <c r="H17" i="59"/>
  <c r="G16" i="61" l="1"/>
  <c r="F72" i="62" s="1"/>
  <c r="D22" i="61"/>
  <c r="C78" i="62" s="1"/>
  <c r="C73" i="62"/>
  <c r="F21" i="61"/>
  <c r="E73" i="62"/>
  <c r="F68" i="62"/>
  <c r="G74" i="62"/>
  <c r="E22" i="61"/>
  <c r="F71" i="62"/>
  <c r="D77" i="62"/>
  <c r="H22" i="61"/>
  <c r="H73" i="62"/>
  <c r="H77" i="62"/>
  <c r="C77" i="62"/>
  <c r="D73" i="62"/>
  <c r="G73" i="62"/>
  <c r="G14" i="61"/>
  <c r="G18" i="61" s="1"/>
  <c r="G23" i="61" s="1"/>
  <c r="F67" i="62"/>
  <c r="D74" i="62"/>
  <c r="G13" i="61"/>
  <c r="F66" i="62"/>
  <c r="C74" i="62"/>
  <c r="H74" i="62"/>
  <c r="H94" i="62"/>
  <c r="C93" i="62"/>
  <c r="G94" i="62"/>
  <c r="E94" i="62"/>
  <c r="C97" i="62"/>
  <c r="G97" i="62"/>
  <c r="G93" i="62"/>
  <c r="F93" i="62"/>
  <c r="D97" i="62"/>
  <c r="C94" i="62"/>
  <c r="E97" i="62"/>
  <c r="H93" i="62"/>
  <c r="D94" i="62"/>
  <c r="F97" i="62"/>
  <c r="F94" i="62"/>
  <c r="E93" i="62"/>
  <c r="D93" i="62"/>
  <c r="H97" i="62"/>
  <c r="I50" i="58"/>
  <c r="J45" i="58"/>
  <c r="J49" i="58"/>
  <c r="D50" i="58"/>
  <c r="J47" i="58" s="1"/>
  <c r="G50" i="58"/>
  <c r="H45" i="58" s="1"/>
  <c r="I39" i="58"/>
  <c r="J35" i="58"/>
  <c r="B39" i="58"/>
  <c r="F22" i="61"/>
  <c r="E39" i="58"/>
  <c r="J37" i="58" s="1"/>
  <c r="J36" i="58"/>
  <c r="G39" i="58"/>
  <c r="H34" i="58" s="1"/>
  <c r="J34" i="58"/>
  <c r="G17" i="61" l="1"/>
  <c r="G22" i="61" s="1"/>
  <c r="G21" i="61"/>
  <c r="D98" i="62"/>
  <c r="F75" i="62"/>
  <c r="F76" i="62"/>
  <c r="H79" i="62"/>
  <c r="F69" i="62"/>
  <c r="F70" i="62"/>
  <c r="E75" i="62"/>
  <c r="E78" i="62"/>
  <c r="G78" i="62"/>
  <c r="D78" i="62"/>
  <c r="D79" i="62"/>
  <c r="G79" i="62"/>
  <c r="H78" i="62"/>
  <c r="C79" i="62"/>
  <c r="E71" i="62"/>
  <c r="E72" i="62"/>
  <c r="E74" i="62"/>
  <c r="G99" i="62"/>
  <c r="C99" i="62"/>
  <c r="H99" i="62"/>
  <c r="E99" i="62"/>
  <c r="F99" i="62"/>
  <c r="E98" i="62"/>
  <c r="G98" i="62"/>
  <c r="D99" i="62"/>
  <c r="F98" i="62"/>
  <c r="C98" i="62"/>
  <c r="H98" i="62"/>
  <c r="E37" i="62"/>
  <c r="H46" i="58"/>
  <c r="H49" i="58"/>
  <c r="H48" i="58"/>
  <c r="H47" i="58"/>
  <c r="H35" i="58"/>
  <c r="H37" i="58"/>
  <c r="H36" i="58"/>
  <c r="H38" i="58"/>
  <c r="F74" i="62" l="1"/>
  <c r="F77" i="62"/>
  <c r="F73" i="62"/>
  <c r="B50" i="62"/>
  <c r="E79" i="62"/>
  <c r="E76" i="62"/>
  <c r="E77" i="62"/>
  <c r="F78" i="62"/>
  <c r="H50" i="58"/>
  <c r="H39" i="58"/>
  <c r="F79" i="62" l="1"/>
  <c r="E11" i="62"/>
  <c r="H11" i="62"/>
  <c r="G11" i="62"/>
  <c r="F11" i="62"/>
  <c r="F38" i="62" l="1"/>
  <c r="B34" i="62" l="1"/>
  <c r="B36" i="62" l="1"/>
  <c r="C38" i="62"/>
  <c r="D36" i="62"/>
  <c r="E34" i="62"/>
  <c r="E39" i="62"/>
  <c r="F37" i="62"/>
  <c r="B37" i="62"/>
  <c r="C35" i="62"/>
  <c r="C39" i="62"/>
  <c r="D37" i="62"/>
  <c r="E35" i="62"/>
  <c r="F34" i="62"/>
  <c r="F39" i="62"/>
  <c r="C34" i="62"/>
  <c r="B38" i="62"/>
  <c r="C36" i="62"/>
  <c r="D34" i="62"/>
  <c r="D38" i="62"/>
  <c r="E36" i="62"/>
  <c r="F35" i="62"/>
  <c r="B35" i="62"/>
  <c r="B39" i="62"/>
  <c r="C37" i="62"/>
  <c r="D35" i="62"/>
  <c r="D39" i="62"/>
  <c r="E38" i="62"/>
  <c r="F36" i="62"/>
  <c r="F41" i="62" l="1"/>
  <c r="B41" i="62"/>
  <c r="E41" i="62"/>
  <c r="C41" i="62"/>
  <c r="D41" i="62"/>
  <c r="C58" i="1" l="1"/>
  <c r="D58" i="1" s="1"/>
  <c r="C57" i="1"/>
  <c r="D57" i="1" s="1"/>
  <c r="C56" i="1"/>
  <c r="D56" i="1" s="1"/>
  <c r="C55" i="1"/>
  <c r="D55" i="1" s="1"/>
  <c r="C54" i="1"/>
  <c r="D54" i="1" s="1"/>
  <c r="B46" i="1"/>
  <c r="F55" i="62" l="1"/>
  <c r="F51" i="62"/>
  <c r="E54" i="62"/>
  <c r="E50" i="62"/>
  <c r="D54" i="62"/>
  <c r="D50" i="62"/>
  <c r="C54" i="62"/>
  <c r="C50" i="62"/>
  <c r="B54" i="62"/>
  <c r="F54" i="62"/>
  <c r="F50" i="62"/>
  <c r="E53" i="62"/>
  <c r="D53" i="62"/>
  <c r="C53" i="62"/>
  <c r="B53" i="62"/>
  <c r="F53" i="62"/>
  <c r="E52" i="62"/>
  <c r="D52" i="62"/>
  <c r="C52" i="62"/>
  <c r="B52" i="62"/>
  <c r="F52" i="62"/>
  <c r="E55" i="62"/>
  <c r="E51" i="62"/>
  <c r="D55" i="62"/>
  <c r="D51" i="62"/>
  <c r="C55" i="62"/>
  <c r="C51" i="62"/>
  <c r="B55" i="62"/>
  <c r="B51" i="62"/>
  <c r="F57" i="62" l="1"/>
  <c r="C57" i="62"/>
  <c r="E57" i="62"/>
  <c r="D57" i="62"/>
  <c r="B57" i="62"/>
  <c r="F92" i="1"/>
  <c r="B92" i="1"/>
  <c r="E92" i="1"/>
  <c r="D92" i="1"/>
  <c r="C92" i="1"/>
  <c r="F25" i="64" l="1"/>
  <c r="C25" i="64"/>
  <c r="D25" i="64"/>
  <c r="E25" i="64"/>
  <c r="G25" i="64"/>
  <c r="C24" i="64" l="1"/>
  <c r="C24" i="65"/>
  <c r="D24" i="65"/>
  <c r="D24" i="64"/>
  <c r="C24" i="67"/>
  <c r="J25" i="64"/>
  <c r="B24" i="67"/>
  <c r="I25" i="64"/>
  <c r="G24" i="65"/>
  <c r="G24" i="64"/>
  <c r="L25" i="64"/>
  <c r="E24" i="67"/>
  <c r="E24" i="64"/>
  <c r="E24" i="65"/>
  <c r="B25" i="64"/>
  <c r="M25" i="64" l="1"/>
  <c r="F24" i="67"/>
  <c r="I106" i="1"/>
  <c r="G24" i="67"/>
  <c r="N25" i="64"/>
  <c r="F24" i="64"/>
  <c r="F24" i="65"/>
  <c r="B24" i="64"/>
  <c r="B24" i="65"/>
  <c r="D24" i="67"/>
  <c r="K25" i="64"/>
  <c r="B21" i="65" l="1"/>
  <c r="B21" i="64"/>
  <c r="E21" i="64"/>
  <c r="G21" i="65"/>
  <c r="C21" i="65"/>
  <c r="C21" i="64"/>
  <c r="F21" i="64"/>
  <c r="D21" i="64"/>
  <c r="F21" i="65" l="1"/>
  <c r="G21" i="64"/>
  <c r="D21" i="65"/>
  <c r="E21" i="65"/>
  <c r="L24" i="64" l="1"/>
  <c r="L24" i="65"/>
  <c r="E23" i="67"/>
  <c r="M24" i="64"/>
  <c r="F23" i="67"/>
  <c r="M24" i="65"/>
  <c r="J24" i="65"/>
  <c r="J24" i="64"/>
  <c r="C23" i="67"/>
  <c r="N24" i="65"/>
  <c r="G23" i="67"/>
  <c r="N24" i="64"/>
  <c r="K24" i="64"/>
  <c r="K24" i="65"/>
  <c r="D23" i="67"/>
  <c r="I105" i="1"/>
  <c r="I24" i="65"/>
  <c r="I24" i="64"/>
  <c r="B23" i="67"/>
  <c r="B20" i="67" l="1"/>
  <c r="C20" i="67"/>
  <c r="D20" i="67"/>
  <c r="J21" i="65" l="1"/>
  <c r="J21" i="64"/>
  <c r="I21" i="65"/>
  <c r="I21" i="64"/>
  <c r="K21" i="65"/>
  <c r="K21" i="64"/>
  <c r="E20" i="67"/>
  <c r="G20" i="67"/>
  <c r="F20" i="67"/>
  <c r="N21" i="65" l="1"/>
  <c r="N21" i="64"/>
  <c r="M21" i="65"/>
  <c r="M21" i="64"/>
  <c r="L21" i="64"/>
  <c r="L21" i="65"/>
  <c r="I102" i="1"/>
  <c r="C23" i="64" l="1"/>
  <c r="C23" i="65"/>
  <c r="G23" i="65"/>
  <c r="G23" i="64"/>
  <c r="B23" i="65"/>
  <c r="B23" i="64"/>
  <c r="D23" i="65" l="1"/>
  <c r="D23" i="64"/>
  <c r="G22" i="67" l="1"/>
  <c r="N23" i="65"/>
  <c r="N23" i="64"/>
  <c r="E23" i="64"/>
  <c r="E23" i="65"/>
  <c r="D22" i="67"/>
  <c r="K23" i="65"/>
  <c r="K23" i="64"/>
  <c r="L23" i="64"/>
  <c r="E22" i="67"/>
  <c r="L23" i="65"/>
  <c r="F22" i="67"/>
  <c r="M23" i="65"/>
  <c r="M23" i="64"/>
  <c r="I23" i="64"/>
  <c r="I23" i="65"/>
  <c r="I104" i="1"/>
  <c r="B22" i="67"/>
  <c r="J23" i="65"/>
  <c r="J23" i="64"/>
  <c r="C22" i="67"/>
  <c r="F23" i="65" l="1"/>
  <c r="F23" i="64"/>
  <c r="C22" i="65" l="1"/>
  <c r="C22" i="64"/>
  <c r="G22" i="64"/>
  <c r="G22" i="65"/>
  <c r="B22" i="65"/>
  <c r="B22" i="64"/>
  <c r="I22" i="65" l="1"/>
  <c r="B21" i="67"/>
  <c r="I22" i="64"/>
  <c r="C108" i="1"/>
  <c r="E108" i="1"/>
  <c r="D22" i="65"/>
  <c r="D22" i="64"/>
  <c r="C21" i="67" l="1"/>
  <c r="J22" i="64"/>
  <c r="J22" i="65"/>
  <c r="D108" i="1"/>
  <c r="E22" i="64"/>
  <c r="E22" i="65"/>
  <c r="D21" i="67"/>
  <c r="K22" i="65"/>
  <c r="K22" i="64"/>
  <c r="N22" i="64"/>
  <c r="N22" i="65"/>
  <c r="G21" i="67"/>
  <c r="H108" i="1"/>
  <c r="L22" i="64"/>
  <c r="L22" i="65"/>
  <c r="E21" i="67"/>
  <c r="F108" i="1"/>
  <c r="I26" i="64"/>
  <c r="M22" i="64"/>
  <c r="M22" i="65"/>
  <c r="F21" i="67"/>
  <c r="G108" i="1"/>
  <c r="I103" i="1"/>
  <c r="I108" i="1" l="1"/>
  <c r="M26" i="64"/>
  <c r="L26" i="64"/>
  <c r="F22" i="64"/>
  <c r="F22" i="65"/>
  <c r="K26" i="64"/>
  <c r="J26" i="64"/>
  <c r="N26" i="64"/>
  <c r="C14" i="1" l="1"/>
  <c r="D10" i="62" s="1"/>
  <c r="C30" i="1"/>
  <c r="C29" i="1" l="1"/>
  <c r="H10" i="62"/>
  <c r="F10" i="62"/>
  <c r="G10" i="62"/>
  <c r="E10" i="62"/>
  <c r="D20" i="62"/>
  <c r="D23" i="62"/>
  <c r="J10" i="62" l="1"/>
  <c r="L36" i="62"/>
  <c r="L34" i="62"/>
  <c r="L35" i="62"/>
  <c r="L37" i="62"/>
  <c r="L38" i="62"/>
  <c r="L39" i="62"/>
  <c r="H23" i="62"/>
  <c r="H20" i="62"/>
  <c r="E20" i="62"/>
  <c r="E23" i="62"/>
  <c r="F20" i="62"/>
  <c r="F23" i="62"/>
  <c r="L53" i="62"/>
  <c r="L50" i="62"/>
  <c r="L55" i="62"/>
  <c r="L52" i="62"/>
  <c r="L51" i="62"/>
  <c r="L54" i="62"/>
  <c r="G23" i="62"/>
  <c r="G20" i="62"/>
  <c r="N98" i="62" l="1"/>
  <c r="N96" i="62"/>
  <c r="N99" i="62"/>
  <c r="N97" i="62"/>
  <c r="N95" i="62"/>
  <c r="J98" i="62"/>
  <c r="J97" i="62"/>
  <c r="L57" i="62"/>
  <c r="J99" i="62"/>
  <c r="J96" i="62"/>
  <c r="J95" i="62"/>
  <c r="J39" i="62"/>
  <c r="J38" i="62"/>
  <c r="J36" i="62"/>
  <c r="J34" i="62"/>
  <c r="J37" i="62"/>
  <c r="J35" i="62"/>
  <c r="H52" i="62"/>
  <c r="L85" i="62" s="1"/>
  <c r="H53" i="62"/>
  <c r="M85" i="62" s="1"/>
  <c r="H51" i="62"/>
  <c r="K85" i="62" s="1"/>
  <c r="H54" i="62"/>
  <c r="N85" i="62" s="1"/>
  <c r="H55" i="62"/>
  <c r="O85" i="62" s="1"/>
  <c r="H50" i="62"/>
  <c r="M79" i="62"/>
  <c r="M78" i="62"/>
  <c r="M77" i="62"/>
  <c r="M76" i="62"/>
  <c r="M75" i="62"/>
  <c r="K95" i="62"/>
  <c r="K99" i="62"/>
  <c r="K98" i="62"/>
  <c r="K96" i="62"/>
  <c r="K97" i="62"/>
  <c r="M98" i="62"/>
  <c r="M95" i="62"/>
  <c r="M97" i="62"/>
  <c r="M99" i="62"/>
  <c r="M96" i="62"/>
  <c r="K55" i="62"/>
  <c r="K54" i="62"/>
  <c r="K52" i="62"/>
  <c r="K53" i="62"/>
  <c r="K51" i="62"/>
  <c r="K50" i="62"/>
  <c r="O76" i="62"/>
  <c r="O78" i="62"/>
  <c r="O77" i="62"/>
  <c r="O75" i="62"/>
  <c r="O79" i="62"/>
  <c r="K77" i="62"/>
  <c r="K78" i="62"/>
  <c r="K75" i="62"/>
  <c r="K76" i="62"/>
  <c r="K79" i="62"/>
  <c r="I39" i="62"/>
  <c r="I38" i="62"/>
  <c r="I37" i="62"/>
  <c r="I34" i="62"/>
  <c r="I36" i="62"/>
  <c r="I35" i="62"/>
  <c r="L98" i="62"/>
  <c r="L97" i="62"/>
  <c r="L95" i="62"/>
  <c r="L96" i="62"/>
  <c r="L99" i="62"/>
  <c r="J23" i="62"/>
  <c r="J22" i="62" s="1"/>
  <c r="K34" i="62"/>
  <c r="K36" i="62"/>
  <c r="K37" i="62"/>
  <c r="K38" i="62"/>
  <c r="K35" i="62"/>
  <c r="K39" i="62"/>
  <c r="J20" i="62"/>
  <c r="J19" i="62" s="1"/>
  <c r="L41" i="62"/>
  <c r="J76" i="62"/>
  <c r="J79" i="62"/>
  <c r="J78" i="62"/>
  <c r="J75" i="62"/>
  <c r="J77" i="62"/>
  <c r="I52" i="62"/>
  <c r="I51" i="62"/>
  <c r="I53" i="62"/>
  <c r="I54" i="62"/>
  <c r="I55" i="62"/>
  <c r="I50" i="62"/>
  <c r="O95" i="62"/>
  <c r="O97" i="62"/>
  <c r="O98" i="62"/>
  <c r="O96" i="62"/>
  <c r="O99" i="62"/>
  <c r="J52" i="62"/>
  <c r="J50" i="62"/>
  <c r="J54" i="62"/>
  <c r="J51" i="62"/>
  <c r="J53" i="62"/>
  <c r="J55" i="62"/>
  <c r="H34" i="62"/>
  <c r="H36" i="62"/>
  <c r="L65" i="62" s="1"/>
  <c r="H39" i="62"/>
  <c r="O65" i="62" s="1"/>
  <c r="H38" i="62"/>
  <c r="N65" i="62" s="1"/>
  <c r="H35" i="62"/>
  <c r="K65" i="62" s="1"/>
  <c r="H37" i="62"/>
  <c r="M65" i="62" s="1"/>
  <c r="N79" i="62"/>
  <c r="N77" i="62"/>
  <c r="N76" i="62"/>
  <c r="N75" i="62"/>
  <c r="N78" i="62"/>
  <c r="L79" i="62"/>
  <c r="L76" i="62"/>
  <c r="L78" i="62"/>
  <c r="L75" i="62"/>
  <c r="L77" i="62"/>
  <c r="D15" i="64" l="1"/>
  <c r="D31" i="64" s="1"/>
  <c r="D13" i="64"/>
  <c r="D29" i="64" s="1"/>
  <c r="F15" i="64"/>
  <c r="O89" i="62"/>
  <c r="O88" i="62"/>
  <c r="O90" i="62"/>
  <c r="J57" i="62"/>
  <c r="J89" i="62"/>
  <c r="J88" i="62"/>
  <c r="J90" i="62"/>
  <c r="N14" i="64"/>
  <c r="N30" i="64" s="1"/>
  <c r="O87" i="62"/>
  <c r="O86" i="62"/>
  <c r="L87" i="62"/>
  <c r="L86" i="62"/>
  <c r="B13" i="64"/>
  <c r="B29" i="64" s="1"/>
  <c r="O74" i="62"/>
  <c r="O71" i="62"/>
  <c r="O73" i="62"/>
  <c r="O72" i="62"/>
  <c r="L73" i="62"/>
  <c r="L72" i="62"/>
  <c r="L74" i="62"/>
  <c r="L71" i="62"/>
  <c r="K16" i="64"/>
  <c r="K32" i="64" s="1"/>
  <c r="K66" i="62"/>
  <c r="K67" i="62"/>
  <c r="N66" i="62"/>
  <c r="N67" i="62"/>
  <c r="C17" i="64"/>
  <c r="C33" i="64" s="1"/>
  <c r="G17" i="64"/>
  <c r="G33" i="64" s="1"/>
  <c r="K57" i="62"/>
  <c r="J93" i="62"/>
  <c r="J94" i="62"/>
  <c r="J92" i="62"/>
  <c r="J91" i="62"/>
  <c r="N93" i="62"/>
  <c r="N92" i="62"/>
  <c r="N91" i="62"/>
  <c r="N94" i="62"/>
  <c r="L15" i="64"/>
  <c r="L31" i="64" s="1"/>
  <c r="J16" i="64"/>
  <c r="J32" i="64" s="1"/>
  <c r="E17" i="64"/>
  <c r="E33" i="64" s="1"/>
  <c r="E13" i="64"/>
  <c r="E29" i="64" s="1"/>
  <c r="C12" i="67"/>
  <c r="M70" i="62"/>
  <c r="M68" i="62"/>
  <c r="M69" i="62"/>
  <c r="O69" i="62"/>
  <c r="O68" i="62"/>
  <c r="O70" i="62"/>
  <c r="M15" i="64"/>
  <c r="D17" i="64"/>
  <c r="D33" i="64" s="1"/>
  <c r="F14" i="64"/>
  <c r="F13" i="64"/>
  <c r="M90" i="62"/>
  <c r="M88" i="62"/>
  <c r="M89" i="62"/>
  <c r="L90" i="62"/>
  <c r="L89" i="62"/>
  <c r="L88" i="62"/>
  <c r="N15" i="64"/>
  <c r="N31" i="64" s="1"/>
  <c r="N86" i="62"/>
  <c r="N87" i="62"/>
  <c r="B15" i="64"/>
  <c r="B16" i="64"/>
  <c r="K73" i="62"/>
  <c r="K74" i="62"/>
  <c r="K72" i="62"/>
  <c r="K71" i="62"/>
  <c r="J74" i="62"/>
  <c r="J72" i="62"/>
  <c r="K41" i="62"/>
  <c r="J73" i="62"/>
  <c r="J71" i="62"/>
  <c r="K17" i="64"/>
  <c r="K33" i="64" s="1"/>
  <c r="D16" i="67"/>
  <c r="L67" i="62"/>
  <c r="L66" i="62"/>
  <c r="O67" i="62"/>
  <c r="O66" i="62"/>
  <c r="C14" i="64"/>
  <c r="C30" i="64" s="1"/>
  <c r="G15" i="64"/>
  <c r="G31" i="64" s="1"/>
  <c r="K91" i="62"/>
  <c r="K94" i="62"/>
  <c r="K92" i="62"/>
  <c r="K93" i="62"/>
  <c r="O94" i="62"/>
  <c r="O92" i="62"/>
  <c r="O91" i="62"/>
  <c r="O93" i="62"/>
  <c r="L17" i="64"/>
  <c r="L33" i="64" s="1"/>
  <c r="E16" i="67"/>
  <c r="J14" i="64"/>
  <c r="J30" i="64" s="1"/>
  <c r="E16" i="64"/>
  <c r="E32" i="64" s="1"/>
  <c r="H57" i="62"/>
  <c r="J85" i="62"/>
  <c r="E12" i="67"/>
  <c r="J41" i="62"/>
  <c r="J68" i="62"/>
  <c r="J70" i="62"/>
  <c r="J69" i="62"/>
  <c r="I17" i="64"/>
  <c r="I33" i="64" s="1"/>
  <c r="B16" i="67"/>
  <c r="I15" i="64"/>
  <c r="I31" i="64" s="1"/>
  <c r="M13" i="64"/>
  <c r="D14" i="64"/>
  <c r="D30" i="64" s="1"/>
  <c r="F17" i="64"/>
  <c r="K88" i="62"/>
  <c r="K89" i="62"/>
  <c r="K90" i="62"/>
  <c r="N13" i="64"/>
  <c r="N29" i="64" s="1"/>
  <c r="N17" i="64"/>
  <c r="N33" i="64" s="1"/>
  <c r="G16" i="67"/>
  <c r="G32" i="67" s="1"/>
  <c r="M86" i="62"/>
  <c r="M87" i="62"/>
  <c r="B17" i="64"/>
  <c r="B33" i="64" s="1"/>
  <c r="N74" i="62"/>
  <c r="N72" i="62"/>
  <c r="N73" i="62"/>
  <c r="N71" i="62"/>
  <c r="K15" i="64"/>
  <c r="K31" i="64" s="1"/>
  <c r="J67" i="62"/>
  <c r="I41" i="62"/>
  <c r="J66" i="62"/>
  <c r="C13" i="64"/>
  <c r="C29" i="64" s="1"/>
  <c r="C15" i="64"/>
  <c r="C31" i="64" s="1"/>
  <c r="G14" i="64"/>
  <c r="G30" i="64" s="1"/>
  <c r="M92" i="62"/>
  <c r="M94" i="62"/>
  <c r="M93" i="62"/>
  <c r="M91" i="62"/>
  <c r="L16" i="64"/>
  <c r="L32" i="64" s="1"/>
  <c r="L14" i="64"/>
  <c r="L30" i="64" s="1"/>
  <c r="J13" i="64"/>
  <c r="J29" i="64" s="1"/>
  <c r="E15" i="64"/>
  <c r="E31" i="64" s="1"/>
  <c r="G12" i="67"/>
  <c r="D12" i="67"/>
  <c r="L69" i="62"/>
  <c r="L68" i="62"/>
  <c r="L70" i="62"/>
  <c r="I16" i="64"/>
  <c r="I32" i="64" s="1"/>
  <c r="I14" i="64"/>
  <c r="I30" i="64" s="1"/>
  <c r="M16" i="64"/>
  <c r="D16" i="64"/>
  <c r="D32" i="64" s="1"/>
  <c r="F16" i="64"/>
  <c r="J65" i="62"/>
  <c r="H41" i="62"/>
  <c r="N89" i="62"/>
  <c r="N90" i="62"/>
  <c r="N88" i="62"/>
  <c r="N16" i="64"/>
  <c r="N32" i="64" s="1"/>
  <c r="I57" i="62"/>
  <c r="J87" i="62"/>
  <c r="J86" i="62"/>
  <c r="K86" i="62"/>
  <c r="K87" i="62"/>
  <c r="B14" i="64"/>
  <c r="M74" i="62"/>
  <c r="M72" i="62"/>
  <c r="M73" i="62"/>
  <c r="M71" i="62"/>
  <c r="K13" i="64"/>
  <c r="K29" i="64" s="1"/>
  <c r="K14" i="64"/>
  <c r="K30" i="64" s="1"/>
  <c r="M67" i="62"/>
  <c r="M66" i="62"/>
  <c r="C16" i="64"/>
  <c r="C32" i="64" s="1"/>
  <c r="G13" i="64"/>
  <c r="G29" i="64" s="1"/>
  <c r="G16" i="64"/>
  <c r="G32" i="64" s="1"/>
  <c r="L91" i="62"/>
  <c r="L93" i="62"/>
  <c r="L92" i="62"/>
  <c r="L94" i="62"/>
  <c r="L13" i="64"/>
  <c r="L29" i="64" s="1"/>
  <c r="J15" i="64"/>
  <c r="J31" i="64" s="1"/>
  <c r="J17" i="64"/>
  <c r="J33" i="64" s="1"/>
  <c r="C16" i="67"/>
  <c r="E14" i="64"/>
  <c r="E30" i="64" s="1"/>
  <c r="F12" i="67"/>
  <c r="K70" i="62"/>
  <c r="K69" i="62"/>
  <c r="K68" i="62"/>
  <c r="N70" i="62"/>
  <c r="N68" i="62"/>
  <c r="N69" i="62"/>
  <c r="I13" i="64"/>
  <c r="M17" i="64"/>
  <c r="F16" i="67"/>
  <c r="M14" i="64"/>
  <c r="E13" i="65" l="1"/>
  <c r="E29" i="65" s="1"/>
  <c r="E80" i="65" s="1"/>
  <c r="N13" i="65"/>
  <c r="N29" i="65" s="1"/>
  <c r="M13" i="65"/>
  <c r="M29" i="65" s="1"/>
  <c r="N18" i="64"/>
  <c r="I29" i="64"/>
  <c r="G42" i="64"/>
  <c r="G72" i="64"/>
  <c r="K81" i="64"/>
  <c r="K70" i="64"/>
  <c r="K40" i="64"/>
  <c r="B81" i="64"/>
  <c r="B30" i="64"/>
  <c r="B13" i="67"/>
  <c r="I14" i="65"/>
  <c r="I30" i="65" s="1"/>
  <c r="F83" i="64"/>
  <c r="F32" i="64"/>
  <c r="M32" i="64"/>
  <c r="M83" i="64"/>
  <c r="D81" i="64"/>
  <c r="D40" i="64"/>
  <c r="D70" i="64"/>
  <c r="B12" i="67"/>
  <c r="I13" i="65"/>
  <c r="B16" i="65"/>
  <c r="E84" i="64"/>
  <c r="E73" i="64"/>
  <c r="E43" i="64"/>
  <c r="F14" i="65"/>
  <c r="F13" i="65"/>
  <c r="F41" i="67"/>
  <c r="F32" i="67"/>
  <c r="F28" i="67"/>
  <c r="F37" i="67"/>
  <c r="M15" i="65"/>
  <c r="F14" i="67"/>
  <c r="G28" i="67"/>
  <c r="G37" i="67"/>
  <c r="L72" i="64"/>
  <c r="L42" i="64"/>
  <c r="L83" i="64"/>
  <c r="C71" i="64"/>
  <c r="C41" i="64"/>
  <c r="E13" i="67"/>
  <c r="L14" i="65"/>
  <c r="L30" i="65" s="1"/>
  <c r="C14" i="67"/>
  <c r="J15" i="65"/>
  <c r="J31" i="65" s="1"/>
  <c r="L13" i="65"/>
  <c r="L29" i="65" s="1"/>
  <c r="G41" i="64"/>
  <c r="G71" i="64"/>
  <c r="G14" i="65"/>
  <c r="G30" i="65" s="1"/>
  <c r="D14" i="67"/>
  <c r="K15" i="65"/>
  <c r="K31" i="65" s="1"/>
  <c r="D43" i="64"/>
  <c r="D84" i="64"/>
  <c r="D73" i="64"/>
  <c r="E15" i="65"/>
  <c r="E31" i="65" s="1"/>
  <c r="C43" i="64"/>
  <c r="C73" i="64"/>
  <c r="C84" i="64"/>
  <c r="D16" i="65"/>
  <c r="D32" i="65" s="1"/>
  <c r="B80" i="64"/>
  <c r="B69" i="64"/>
  <c r="B39" i="64"/>
  <c r="J84" i="64"/>
  <c r="J73" i="64"/>
  <c r="J43" i="64"/>
  <c r="K39" i="64"/>
  <c r="K69" i="64"/>
  <c r="K80" i="64"/>
  <c r="K79" i="64"/>
  <c r="D15" i="71" s="1"/>
  <c r="D20" i="71" s="1"/>
  <c r="C13" i="65"/>
  <c r="C29" i="65" s="1"/>
  <c r="I70" i="64"/>
  <c r="I81" i="64"/>
  <c r="I40" i="64"/>
  <c r="D28" i="67"/>
  <c r="D37" i="67"/>
  <c r="F16" i="65"/>
  <c r="B43" i="64"/>
  <c r="B73" i="64"/>
  <c r="B84" i="64"/>
  <c r="M80" i="64"/>
  <c r="M79" i="64"/>
  <c r="M29" i="64"/>
  <c r="E42" i="64"/>
  <c r="E72" i="64"/>
  <c r="E83" i="64"/>
  <c r="G15" i="67"/>
  <c r="G31" i="67" s="1"/>
  <c r="N16" i="65"/>
  <c r="N32" i="65" s="1"/>
  <c r="J41" i="64"/>
  <c r="J82" i="64"/>
  <c r="J71" i="64"/>
  <c r="C72" i="64"/>
  <c r="C42" i="64"/>
  <c r="E16" i="65"/>
  <c r="E32" i="65" s="1"/>
  <c r="I42" i="64"/>
  <c r="I72" i="64"/>
  <c r="I83" i="64"/>
  <c r="N39" i="65"/>
  <c r="K41" i="64"/>
  <c r="K71" i="64"/>
  <c r="K82" i="64"/>
  <c r="I41" i="64"/>
  <c r="I82" i="64"/>
  <c r="I71" i="64"/>
  <c r="J81" i="64"/>
  <c r="J70" i="64"/>
  <c r="J40" i="64"/>
  <c r="C15" i="67"/>
  <c r="J16" i="65"/>
  <c r="J32" i="65" s="1"/>
  <c r="C28" i="67"/>
  <c r="C37" i="67"/>
  <c r="L71" i="64"/>
  <c r="L82" i="64"/>
  <c r="L41" i="64"/>
  <c r="D69" i="64"/>
  <c r="D80" i="64"/>
  <c r="D39" i="64"/>
  <c r="C15" i="65"/>
  <c r="C31" i="65" s="1"/>
  <c r="C32" i="67"/>
  <c r="C41" i="67"/>
  <c r="B13" i="65"/>
  <c r="B29" i="65" s="1"/>
  <c r="K13" i="65"/>
  <c r="K29" i="65" s="1"/>
  <c r="J39" i="64"/>
  <c r="J69" i="64"/>
  <c r="J80" i="64"/>
  <c r="J79" i="64"/>
  <c r="C15" i="71" s="1"/>
  <c r="C20" i="71" s="1"/>
  <c r="B14" i="65"/>
  <c r="N69" i="64"/>
  <c r="N39" i="64"/>
  <c r="D32" i="67"/>
  <c r="D41" i="67"/>
  <c r="C16" i="65"/>
  <c r="C32" i="65" s="1"/>
  <c r="B32" i="64"/>
  <c r="B83" i="64"/>
  <c r="L15" i="65"/>
  <c r="L31" i="65" s="1"/>
  <c r="E14" i="67"/>
  <c r="F29" i="64"/>
  <c r="F80" i="64"/>
  <c r="G13" i="67"/>
  <c r="G29" i="67" s="1"/>
  <c r="N14" i="65"/>
  <c r="N30" i="65" s="1"/>
  <c r="M84" i="64"/>
  <c r="M33" i="64"/>
  <c r="L39" i="64"/>
  <c r="L79" i="64"/>
  <c r="E15" i="71" s="1"/>
  <c r="E20" i="71" s="1"/>
  <c r="L69" i="64"/>
  <c r="L80" i="64"/>
  <c r="G39" i="64"/>
  <c r="G69" i="64"/>
  <c r="E14" i="65"/>
  <c r="E30" i="65" s="1"/>
  <c r="D72" i="64"/>
  <c r="D42" i="64"/>
  <c r="D83" i="64"/>
  <c r="D13" i="65"/>
  <c r="D29" i="65" s="1"/>
  <c r="F33" i="64"/>
  <c r="F84" i="64"/>
  <c r="B32" i="67"/>
  <c r="B41" i="67"/>
  <c r="E28" i="67"/>
  <c r="E37" i="67"/>
  <c r="E32" i="67"/>
  <c r="E41" i="67"/>
  <c r="K84" i="64"/>
  <c r="K73" i="64"/>
  <c r="K43" i="64"/>
  <c r="F13" i="67"/>
  <c r="M14" i="65"/>
  <c r="G15" i="65"/>
  <c r="G31" i="65" s="1"/>
  <c r="E69" i="64"/>
  <c r="E80" i="64"/>
  <c r="E39" i="64"/>
  <c r="J42" i="64"/>
  <c r="J72" i="64"/>
  <c r="J83" i="64"/>
  <c r="I16" i="65"/>
  <c r="I32" i="65" s="1"/>
  <c r="B15" i="67"/>
  <c r="C14" i="65"/>
  <c r="C30" i="65" s="1"/>
  <c r="I15" i="65"/>
  <c r="I31" i="65" s="1"/>
  <c r="B14" i="67"/>
  <c r="G14" i="67"/>
  <c r="G30" i="67" s="1"/>
  <c r="N15" i="65"/>
  <c r="N31" i="65" s="1"/>
  <c r="F31" i="64"/>
  <c r="F82" i="64"/>
  <c r="D82" i="64"/>
  <c r="D71" i="64"/>
  <c r="D41" i="64"/>
  <c r="M81" i="64"/>
  <c r="M30" i="64"/>
  <c r="F15" i="65"/>
  <c r="E81" i="64"/>
  <c r="E40" i="64"/>
  <c r="E70" i="64"/>
  <c r="K16" i="65"/>
  <c r="K32" i="65" s="1"/>
  <c r="D15" i="67"/>
  <c r="C13" i="67"/>
  <c r="J14" i="65"/>
  <c r="J30" i="65" s="1"/>
  <c r="N42" i="64"/>
  <c r="N72" i="64"/>
  <c r="D15" i="65"/>
  <c r="E82" i="64"/>
  <c r="E71" i="64"/>
  <c r="E41" i="64"/>
  <c r="L40" i="64"/>
  <c r="L81" i="64"/>
  <c r="L70" i="64"/>
  <c r="E15" i="67"/>
  <c r="L16" i="65"/>
  <c r="L32" i="65" s="1"/>
  <c r="G40" i="64"/>
  <c r="G70" i="64"/>
  <c r="C80" i="64"/>
  <c r="C69" i="64"/>
  <c r="C39" i="64"/>
  <c r="N43" i="64"/>
  <c r="N73" i="64"/>
  <c r="I84" i="64"/>
  <c r="I73" i="64"/>
  <c r="I43" i="64"/>
  <c r="B15" i="65"/>
  <c r="L73" i="64"/>
  <c r="L84" i="64"/>
  <c r="L43" i="64"/>
  <c r="C70" i="64"/>
  <c r="C40" i="64"/>
  <c r="D14" i="65"/>
  <c r="D30" i="65" s="1"/>
  <c r="B82" i="64"/>
  <c r="B31" i="64"/>
  <c r="N71" i="64"/>
  <c r="N41" i="64"/>
  <c r="G13" i="65"/>
  <c r="G29" i="65" s="1"/>
  <c r="F81" i="64"/>
  <c r="F30" i="64"/>
  <c r="M31" i="64"/>
  <c r="M82" i="64"/>
  <c r="J13" i="65"/>
  <c r="J29" i="65" s="1"/>
  <c r="F15" i="67"/>
  <c r="M16" i="65"/>
  <c r="G43" i="64"/>
  <c r="G73" i="64"/>
  <c r="K72" i="64"/>
  <c r="K42" i="64"/>
  <c r="K83" i="64"/>
  <c r="G16" i="65"/>
  <c r="G32" i="65" s="1"/>
  <c r="K14" i="65"/>
  <c r="K30" i="65" s="1"/>
  <c r="D13" i="67"/>
  <c r="N70" i="64"/>
  <c r="N40" i="64"/>
  <c r="N69" i="65" l="1"/>
  <c r="E69" i="65"/>
  <c r="M80" i="65"/>
  <c r="M34" i="66" s="1"/>
  <c r="G72" i="65"/>
  <c r="G42" i="65"/>
  <c r="F31" i="67"/>
  <c r="F40" i="67"/>
  <c r="J39" i="65"/>
  <c r="J69" i="65"/>
  <c r="J79" i="65"/>
  <c r="C16" i="71" s="1"/>
  <c r="C21" i="71" s="1"/>
  <c r="J80" i="65"/>
  <c r="M14" i="66"/>
  <c r="N82" i="64"/>
  <c r="G69" i="65"/>
  <c r="G39" i="65"/>
  <c r="C82" i="64"/>
  <c r="B14" i="66"/>
  <c r="D70" i="65"/>
  <c r="D81" i="65"/>
  <c r="D40" i="65"/>
  <c r="L38" i="66"/>
  <c r="L16" i="66"/>
  <c r="J81" i="65"/>
  <c r="J35" i="66" s="1"/>
  <c r="J70" i="65"/>
  <c r="J40" i="65"/>
  <c r="K42" i="65"/>
  <c r="K72" i="65"/>
  <c r="K83" i="65"/>
  <c r="K25" i="66" s="1"/>
  <c r="F31" i="65"/>
  <c r="F82" i="65"/>
  <c r="F14" i="66"/>
  <c r="G82" i="64"/>
  <c r="B31" i="67"/>
  <c r="B40" i="67"/>
  <c r="F43" i="64"/>
  <c r="F73" i="64"/>
  <c r="D15" i="66"/>
  <c r="N84" i="64"/>
  <c r="C95" i="64" s="1"/>
  <c r="C92" i="66" s="1"/>
  <c r="M16" i="66"/>
  <c r="M38" i="66"/>
  <c r="F69" i="64"/>
  <c r="F39" i="64"/>
  <c r="B15" i="66"/>
  <c r="C83" i="64"/>
  <c r="I19" i="72"/>
  <c r="J12" i="66"/>
  <c r="K80" i="65"/>
  <c r="K34" i="66" s="1"/>
  <c r="K79" i="65"/>
  <c r="D16" i="71" s="1"/>
  <c r="D21" i="71" s="1"/>
  <c r="K69" i="65"/>
  <c r="K39" i="65"/>
  <c r="B80" i="65"/>
  <c r="B39" i="65"/>
  <c r="D19" i="72"/>
  <c r="D12" i="66"/>
  <c r="C31" i="67"/>
  <c r="C40" i="67"/>
  <c r="I53" i="72"/>
  <c r="J13" i="66"/>
  <c r="I14" i="66"/>
  <c r="E39" i="65"/>
  <c r="L19" i="72"/>
  <c r="N80" i="64"/>
  <c r="M12" i="66"/>
  <c r="B38" i="66"/>
  <c r="B16" i="66"/>
  <c r="F32" i="65"/>
  <c r="F83" i="65"/>
  <c r="D83" i="65"/>
  <c r="D72" i="65"/>
  <c r="D42" i="65"/>
  <c r="D38" i="66"/>
  <c r="D16" i="66"/>
  <c r="D30" i="67"/>
  <c r="D39" i="67"/>
  <c r="L70" i="65"/>
  <c r="L81" i="65"/>
  <c r="L40" i="65"/>
  <c r="E38" i="66"/>
  <c r="E16" i="66"/>
  <c r="M42" i="64"/>
  <c r="M72" i="64"/>
  <c r="D29" i="67"/>
  <c r="D38" i="67"/>
  <c r="K15" i="66"/>
  <c r="I38" i="66"/>
  <c r="I16" i="66"/>
  <c r="C19" i="72"/>
  <c r="C12" i="66"/>
  <c r="D31" i="65"/>
  <c r="D82" i="65"/>
  <c r="C29" i="67"/>
  <c r="C38" i="67"/>
  <c r="B39" i="67"/>
  <c r="B30" i="67"/>
  <c r="D69" i="65"/>
  <c r="D80" i="65"/>
  <c r="D39" i="65"/>
  <c r="E35" i="71"/>
  <c r="E36" i="71"/>
  <c r="E34" i="71"/>
  <c r="C41" i="65"/>
  <c r="C71" i="65"/>
  <c r="C39" i="65"/>
  <c r="C69" i="65"/>
  <c r="C80" i="65"/>
  <c r="M71" i="64"/>
  <c r="M41" i="64"/>
  <c r="B82" i="65"/>
  <c r="B31" i="65"/>
  <c r="F71" i="64"/>
  <c r="F41" i="64"/>
  <c r="I42" i="65"/>
  <c r="I83" i="65"/>
  <c r="I72" i="65"/>
  <c r="G71" i="65"/>
  <c r="G41" i="65"/>
  <c r="M81" i="65"/>
  <c r="M35" i="66" s="1"/>
  <c r="M30" i="65"/>
  <c r="K16" i="66"/>
  <c r="K38" i="66"/>
  <c r="E30" i="67"/>
  <c r="E39" i="67"/>
  <c r="B42" i="64"/>
  <c r="B72" i="64"/>
  <c r="L14" i="66"/>
  <c r="J14" i="66"/>
  <c r="D35" i="71"/>
  <c r="D34" i="71"/>
  <c r="D36" i="71"/>
  <c r="E41" i="65"/>
  <c r="E71" i="65"/>
  <c r="G40" i="65"/>
  <c r="G70" i="65"/>
  <c r="L39" i="65"/>
  <c r="L69" i="65"/>
  <c r="L79" i="65"/>
  <c r="E16" i="71" s="1"/>
  <c r="E21" i="71" s="1"/>
  <c r="L80" i="65"/>
  <c r="L34" i="66" s="1"/>
  <c r="J71" i="65"/>
  <c r="J82" i="65"/>
  <c r="J24" i="66" s="1"/>
  <c r="J41" i="65"/>
  <c r="E38" i="67"/>
  <c r="E29" i="67"/>
  <c r="L15" i="66"/>
  <c r="G41" i="67"/>
  <c r="F30" i="65"/>
  <c r="F81" i="65"/>
  <c r="F42" i="64"/>
  <c r="F72" i="64"/>
  <c r="B70" i="64"/>
  <c r="B40" i="64"/>
  <c r="K13" i="66"/>
  <c r="J53" i="72"/>
  <c r="M39" i="65"/>
  <c r="K40" i="65"/>
  <c r="K81" i="65"/>
  <c r="K35" i="66" s="1"/>
  <c r="K70" i="65"/>
  <c r="F70" i="64"/>
  <c r="F40" i="64"/>
  <c r="L72" i="65"/>
  <c r="L42" i="65"/>
  <c r="L83" i="65"/>
  <c r="L25" i="66" s="1"/>
  <c r="K53" i="72"/>
  <c r="L13" i="66"/>
  <c r="M70" i="64"/>
  <c r="M40" i="64"/>
  <c r="D14" i="66"/>
  <c r="N41" i="65"/>
  <c r="N71" i="65"/>
  <c r="I71" i="65"/>
  <c r="I82" i="65"/>
  <c r="I41" i="65"/>
  <c r="C40" i="65"/>
  <c r="C70" i="65"/>
  <c r="J15" i="66"/>
  <c r="F29" i="67"/>
  <c r="F38" i="67"/>
  <c r="E40" i="65"/>
  <c r="E70" i="65"/>
  <c r="E81" i="65"/>
  <c r="L41" i="65"/>
  <c r="L71" i="65"/>
  <c r="L82" i="65"/>
  <c r="L24" i="66" s="1"/>
  <c r="C42" i="65"/>
  <c r="C72" i="65"/>
  <c r="B30" i="65"/>
  <c r="B81" i="65"/>
  <c r="E15" i="66"/>
  <c r="M69" i="64"/>
  <c r="M39" i="64"/>
  <c r="H53" i="72"/>
  <c r="I13" i="66"/>
  <c r="J19" i="72"/>
  <c r="K12" i="66"/>
  <c r="B19" i="72"/>
  <c r="B12" i="66"/>
  <c r="B79" i="64"/>
  <c r="C16" i="66"/>
  <c r="C38" i="66"/>
  <c r="C39" i="67"/>
  <c r="C30" i="67"/>
  <c r="F39" i="67"/>
  <c r="F30" i="67"/>
  <c r="F29" i="65"/>
  <c r="F80" i="65"/>
  <c r="B32" i="65"/>
  <c r="B69" i="65" s="1"/>
  <c r="B83" i="65"/>
  <c r="N18" i="65"/>
  <c r="I29" i="65"/>
  <c r="F15" i="66"/>
  <c r="G83" i="64"/>
  <c r="I70" i="65"/>
  <c r="I81" i="65"/>
  <c r="I35" i="66" s="1"/>
  <c r="I40" i="65"/>
  <c r="B53" i="72"/>
  <c r="B13" i="66"/>
  <c r="C81" i="64"/>
  <c r="M83" i="65"/>
  <c r="M37" i="66" s="1"/>
  <c r="M32" i="65"/>
  <c r="F13" i="66"/>
  <c r="F53" i="72"/>
  <c r="G81" i="64"/>
  <c r="B71" i="64"/>
  <c r="B41" i="64"/>
  <c r="E31" i="67"/>
  <c r="E40" i="67"/>
  <c r="E14" i="66"/>
  <c r="D31" i="67"/>
  <c r="D40" i="67"/>
  <c r="E53" i="72"/>
  <c r="E13" i="66"/>
  <c r="M13" i="66"/>
  <c r="N81" i="64"/>
  <c r="L53" i="72"/>
  <c r="E12" i="66"/>
  <c r="E19" i="72"/>
  <c r="E34" i="66"/>
  <c r="G84" i="64"/>
  <c r="F38" i="66"/>
  <c r="F16" i="66"/>
  <c r="K19" i="72"/>
  <c r="L12" i="66"/>
  <c r="M73" i="64"/>
  <c r="M43" i="64"/>
  <c r="N70" i="65"/>
  <c r="N40" i="65"/>
  <c r="F12" i="66"/>
  <c r="F19" i="72"/>
  <c r="G80" i="64"/>
  <c r="C34" i="71"/>
  <c r="C35" i="71"/>
  <c r="C36" i="71"/>
  <c r="J72" i="65"/>
  <c r="J42" i="65"/>
  <c r="J83" i="65"/>
  <c r="J25" i="66" s="1"/>
  <c r="E22" i="66"/>
  <c r="E20" i="72"/>
  <c r="K14" i="66"/>
  <c r="I15" i="66"/>
  <c r="E83" i="65"/>
  <c r="E72" i="65"/>
  <c r="E42" i="65"/>
  <c r="N42" i="65"/>
  <c r="N72" i="65"/>
  <c r="F15" i="71"/>
  <c r="F20" i="71" s="1"/>
  <c r="N79" i="64"/>
  <c r="G15" i="71" s="1"/>
  <c r="G20" i="71" s="1"/>
  <c r="J38" i="66"/>
  <c r="J16" i="66"/>
  <c r="K82" i="65"/>
  <c r="K24" i="66" s="1"/>
  <c r="K41" i="65"/>
  <c r="K71" i="65"/>
  <c r="M82" i="65"/>
  <c r="M31" i="65"/>
  <c r="B28" i="67"/>
  <c r="B37" i="67"/>
  <c r="D13" i="66"/>
  <c r="D53" i="72"/>
  <c r="N83" i="64"/>
  <c r="M15" i="66"/>
  <c r="B29" i="67"/>
  <c r="B38" i="67"/>
  <c r="I80" i="64"/>
  <c r="I69" i="64"/>
  <c r="I39" i="64"/>
  <c r="I79" i="64"/>
  <c r="B36" i="66" l="1"/>
  <c r="D34" i="66"/>
  <c r="F37" i="66"/>
  <c r="B34" i="66"/>
  <c r="D35" i="66"/>
  <c r="D25" i="66"/>
  <c r="B37" i="66"/>
  <c r="D36" i="66"/>
  <c r="F34" i="66"/>
  <c r="E25" i="66"/>
  <c r="C34" i="66"/>
  <c r="B91" i="64"/>
  <c r="B95" i="64"/>
  <c r="D95" i="64" s="1"/>
  <c r="B105" i="66" s="1"/>
  <c r="L20" i="72"/>
  <c r="L21" i="72" s="1"/>
  <c r="M79" i="65"/>
  <c r="N79" i="65" s="1"/>
  <c r="G16" i="71" s="1"/>
  <c r="G21" i="71" s="1"/>
  <c r="M22" i="66"/>
  <c r="N80" i="65"/>
  <c r="N22" i="66" s="1"/>
  <c r="B94" i="64"/>
  <c r="E21" i="72"/>
  <c r="J37" i="66"/>
  <c r="K36" i="66"/>
  <c r="L36" i="66"/>
  <c r="B78" i="66"/>
  <c r="C75" i="66"/>
  <c r="M71" i="65"/>
  <c r="M41" i="65"/>
  <c r="L75" i="66"/>
  <c r="F79" i="66"/>
  <c r="M76" i="66"/>
  <c r="G13" i="66"/>
  <c r="G53" i="72"/>
  <c r="C79" i="66"/>
  <c r="E37" i="66"/>
  <c r="C81" i="65"/>
  <c r="B23" i="66"/>
  <c r="B54" i="72"/>
  <c r="B55" i="72" s="1"/>
  <c r="E54" i="72"/>
  <c r="E55" i="72" s="1"/>
  <c r="E23" i="66"/>
  <c r="I24" i="66"/>
  <c r="K76" i="66"/>
  <c r="F54" i="72"/>
  <c r="F55" i="72" s="1"/>
  <c r="F23" i="66"/>
  <c r="G81" i="65"/>
  <c r="I25" i="66"/>
  <c r="B41" i="65"/>
  <c r="B71" i="65"/>
  <c r="D75" i="66"/>
  <c r="D37" i="66"/>
  <c r="B77" i="66"/>
  <c r="I20" i="72"/>
  <c r="I21" i="72" s="1"/>
  <c r="J22" i="66"/>
  <c r="C91" i="64"/>
  <c r="D91" i="64" s="1"/>
  <c r="B101" i="66" s="1"/>
  <c r="H19" i="72"/>
  <c r="I12" i="66"/>
  <c r="N82" i="65"/>
  <c r="N24" i="66" s="1"/>
  <c r="M24" i="66"/>
  <c r="G35" i="71"/>
  <c r="G34" i="71"/>
  <c r="G36" i="71"/>
  <c r="G16" i="66"/>
  <c r="G38" i="66"/>
  <c r="E75" i="66"/>
  <c r="E35" i="66"/>
  <c r="M42" i="65"/>
  <c r="M72" i="65"/>
  <c r="B92" i="64"/>
  <c r="F20" i="72"/>
  <c r="F21" i="72" s="1"/>
  <c r="G80" i="65"/>
  <c r="F22" i="66"/>
  <c r="I76" i="66"/>
  <c r="B70" i="65"/>
  <c r="B40" i="65"/>
  <c r="G38" i="67"/>
  <c r="J54" i="72"/>
  <c r="J55" i="72" s="1"/>
  <c r="K23" i="66"/>
  <c r="F70" i="65"/>
  <c r="F40" i="65"/>
  <c r="L37" i="66"/>
  <c r="L22" i="66"/>
  <c r="K20" i="72"/>
  <c r="K21" i="72" s="1"/>
  <c r="B24" i="66"/>
  <c r="C82" i="65"/>
  <c r="D20" i="72"/>
  <c r="D21" i="72" s="1"/>
  <c r="D22" i="66"/>
  <c r="E79" i="66"/>
  <c r="K54" i="72"/>
  <c r="K55" i="72" s="1"/>
  <c r="L23" i="66"/>
  <c r="D79" i="66"/>
  <c r="G83" i="65"/>
  <c r="F25" i="66"/>
  <c r="B79" i="66"/>
  <c r="M75" i="66"/>
  <c r="I36" i="66"/>
  <c r="J34" i="66"/>
  <c r="C14" i="66"/>
  <c r="N14" i="66"/>
  <c r="C38" i="71"/>
  <c r="C39" i="71"/>
  <c r="C40" i="71"/>
  <c r="D76" i="66"/>
  <c r="J79" i="66"/>
  <c r="F34" i="71"/>
  <c r="F35" i="71"/>
  <c r="F36" i="71"/>
  <c r="M53" i="72"/>
  <c r="C59" i="72" s="1"/>
  <c r="N13" i="66"/>
  <c r="N83" i="65"/>
  <c r="N25" i="66" s="1"/>
  <c r="M25" i="66"/>
  <c r="C13" i="66"/>
  <c r="C53" i="72"/>
  <c r="G15" i="66"/>
  <c r="F39" i="65"/>
  <c r="F69" i="65"/>
  <c r="E40" i="71"/>
  <c r="E38" i="71"/>
  <c r="E39" i="71"/>
  <c r="K79" i="66"/>
  <c r="M40" i="65"/>
  <c r="M70" i="65"/>
  <c r="K37" i="66"/>
  <c r="F72" i="65"/>
  <c r="F42" i="65"/>
  <c r="J76" i="66"/>
  <c r="B20" i="72"/>
  <c r="B21" i="72" s="1"/>
  <c r="B22" i="66"/>
  <c r="B79" i="65"/>
  <c r="D40" i="71"/>
  <c r="D39" i="71"/>
  <c r="D38" i="71"/>
  <c r="N16" i="66"/>
  <c r="N38" i="66"/>
  <c r="G14" i="66"/>
  <c r="F41" i="65"/>
  <c r="F71" i="65"/>
  <c r="B93" i="64"/>
  <c r="M36" i="66"/>
  <c r="F78" i="66"/>
  <c r="B42" i="65"/>
  <c r="B72" i="65"/>
  <c r="C20" i="72"/>
  <c r="C21" i="72" s="1"/>
  <c r="C22" i="66"/>
  <c r="D71" i="65"/>
  <c r="D41" i="65"/>
  <c r="B92" i="66"/>
  <c r="M79" i="66"/>
  <c r="F24" i="66"/>
  <c r="G82" i="65"/>
  <c r="B15" i="71"/>
  <c r="B20" i="71" s="1"/>
  <c r="C90" i="64"/>
  <c r="N15" i="66"/>
  <c r="C94" i="64"/>
  <c r="G12" i="66"/>
  <c r="C79" i="64"/>
  <c r="G19" i="72"/>
  <c r="M78" i="66"/>
  <c r="I37" i="66"/>
  <c r="F35" i="66"/>
  <c r="B35" i="66"/>
  <c r="H54" i="72"/>
  <c r="I23" i="66"/>
  <c r="I39" i="65"/>
  <c r="I69" i="65"/>
  <c r="I79" i="65"/>
  <c r="I80" i="65"/>
  <c r="I34" i="66" s="1"/>
  <c r="C83" i="65"/>
  <c r="B25" i="66"/>
  <c r="G39" i="67"/>
  <c r="K75" i="66"/>
  <c r="C92" i="64"/>
  <c r="L35" i="66"/>
  <c r="M69" i="65"/>
  <c r="J36" i="66"/>
  <c r="L54" i="72"/>
  <c r="L55" i="72" s="1"/>
  <c r="M23" i="66"/>
  <c r="N81" i="65"/>
  <c r="C92" i="65" s="1"/>
  <c r="D24" i="66"/>
  <c r="E82" i="65"/>
  <c r="I79" i="66"/>
  <c r="N12" i="66"/>
  <c r="M19" i="72"/>
  <c r="C93" i="64"/>
  <c r="J20" i="72"/>
  <c r="J21" i="72" s="1"/>
  <c r="K22" i="66"/>
  <c r="C15" i="66"/>
  <c r="F36" i="66"/>
  <c r="J23" i="66"/>
  <c r="I54" i="72"/>
  <c r="I55" i="72" s="1"/>
  <c r="L79" i="66"/>
  <c r="D54" i="72"/>
  <c r="D23" i="66"/>
  <c r="G40" i="67"/>
  <c r="D77" i="66" l="1"/>
  <c r="B75" i="66"/>
  <c r="F75" i="66"/>
  <c r="C25" i="66"/>
  <c r="F16" i="71"/>
  <c r="F21" i="71" s="1"/>
  <c r="F38" i="71" s="1"/>
  <c r="C35" i="66"/>
  <c r="G25" i="66"/>
  <c r="G34" i="66"/>
  <c r="G24" i="66"/>
  <c r="C24" i="66"/>
  <c r="B90" i="64"/>
  <c r="B97" i="64" s="1"/>
  <c r="D94" i="64"/>
  <c r="E94" i="64" s="1"/>
  <c r="M20" i="72"/>
  <c r="M21" i="72" s="1"/>
  <c r="N34" i="66"/>
  <c r="K77" i="66"/>
  <c r="K49" i="66"/>
  <c r="L49" i="66"/>
  <c r="N37" i="66"/>
  <c r="C36" i="66"/>
  <c r="C37" i="66"/>
  <c r="B59" i="72"/>
  <c r="D59" i="72" s="1"/>
  <c r="E59" i="72" s="1"/>
  <c r="I49" i="66"/>
  <c r="M49" i="66"/>
  <c r="L77" i="66"/>
  <c r="B91" i="65"/>
  <c r="B88" i="66" s="1"/>
  <c r="J78" i="66"/>
  <c r="B94" i="65"/>
  <c r="B91" i="66" s="1"/>
  <c r="F77" i="66"/>
  <c r="B16" i="71"/>
  <c r="B21" i="71" s="1"/>
  <c r="C90" i="65"/>
  <c r="C60" i="71" s="1"/>
  <c r="G49" i="66"/>
  <c r="G79" i="66"/>
  <c r="E24" i="66"/>
  <c r="E36" i="66"/>
  <c r="M54" i="72"/>
  <c r="C60" i="72" s="1"/>
  <c r="C61" i="72" s="1"/>
  <c r="N23" i="66"/>
  <c r="G40" i="71"/>
  <c r="G38" i="71"/>
  <c r="G39" i="71"/>
  <c r="E95" i="64"/>
  <c r="K78" i="66"/>
  <c r="B25" i="72"/>
  <c r="C76" i="66"/>
  <c r="C79" i="65"/>
  <c r="G20" i="72"/>
  <c r="B26" i="72" s="1"/>
  <c r="G22" i="66"/>
  <c r="C94" i="65"/>
  <c r="C23" i="66"/>
  <c r="C54" i="72"/>
  <c r="C55" i="72" s="1"/>
  <c r="D92" i="64"/>
  <c r="B102" i="66" s="1"/>
  <c r="B59" i="71"/>
  <c r="C59" i="71"/>
  <c r="C97" i="64"/>
  <c r="D105" i="66"/>
  <c r="M77" i="66"/>
  <c r="N49" i="66"/>
  <c r="N79" i="66"/>
  <c r="G37" i="66"/>
  <c r="N36" i="66"/>
  <c r="I77" i="66"/>
  <c r="D49" i="66"/>
  <c r="L78" i="66"/>
  <c r="C25" i="72"/>
  <c r="G54" i="72"/>
  <c r="G55" i="72" s="1"/>
  <c r="G23" i="66"/>
  <c r="B92" i="65"/>
  <c r="C49" i="66"/>
  <c r="G35" i="66"/>
  <c r="F39" i="71"/>
  <c r="I75" i="66"/>
  <c r="C93" i="65"/>
  <c r="C90" i="66" s="1"/>
  <c r="J77" i="66"/>
  <c r="L76" i="66"/>
  <c r="C89" i="66"/>
  <c r="H20" i="72"/>
  <c r="I22" i="66"/>
  <c r="C91" i="65"/>
  <c r="C88" i="66" s="1"/>
  <c r="B76" i="66"/>
  <c r="F76" i="66"/>
  <c r="I78" i="66"/>
  <c r="B34" i="71"/>
  <c r="I34" i="71" s="1"/>
  <c r="B36" i="71"/>
  <c r="I36" i="71" s="1"/>
  <c r="D50" i="71" s="1"/>
  <c r="B35" i="71"/>
  <c r="I35" i="71" s="1"/>
  <c r="C50" i="71" s="1"/>
  <c r="I20" i="71"/>
  <c r="D92" i="66"/>
  <c r="E92" i="66" s="1"/>
  <c r="D55" i="72"/>
  <c r="D93" i="64"/>
  <c r="B103" i="66" s="1"/>
  <c r="G36" i="66"/>
  <c r="H55" i="72"/>
  <c r="N35" i="66"/>
  <c r="J49" i="66"/>
  <c r="J75" i="66"/>
  <c r="B49" i="66"/>
  <c r="E49" i="66"/>
  <c r="B93" i="65"/>
  <c r="E76" i="66"/>
  <c r="D78" i="66"/>
  <c r="E78" i="66"/>
  <c r="F49" i="66"/>
  <c r="E91" i="64"/>
  <c r="D45" i="66" l="1"/>
  <c r="F40" i="71"/>
  <c r="D90" i="64"/>
  <c r="E90" i="64" s="1"/>
  <c r="G75" i="66"/>
  <c r="E45" i="66"/>
  <c r="F45" i="66"/>
  <c r="C45" i="66"/>
  <c r="G45" i="66"/>
  <c r="B45" i="66"/>
  <c r="B90" i="65"/>
  <c r="D90" i="65" s="1"/>
  <c r="E90" i="65" s="1"/>
  <c r="K48" i="66"/>
  <c r="B104" i="66"/>
  <c r="J48" i="66"/>
  <c r="C26" i="72"/>
  <c r="D26" i="72" s="1"/>
  <c r="B33" i="72" s="1"/>
  <c r="I45" i="66"/>
  <c r="J45" i="66"/>
  <c r="L45" i="66"/>
  <c r="N45" i="66"/>
  <c r="K45" i="66"/>
  <c r="N75" i="66"/>
  <c r="M45" i="66"/>
  <c r="N78" i="66"/>
  <c r="L48" i="66"/>
  <c r="I48" i="66"/>
  <c r="C78" i="66"/>
  <c r="L46" i="66"/>
  <c r="M48" i="66"/>
  <c r="D48" i="66"/>
  <c r="B46" i="66"/>
  <c r="N48" i="66"/>
  <c r="C61" i="71"/>
  <c r="C77" i="66"/>
  <c r="C47" i="66"/>
  <c r="B60" i="72"/>
  <c r="B61" i="72" s="1"/>
  <c r="D94" i="65"/>
  <c r="E94" i="65" s="1"/>
  <c r="M55" i="72"/>
  <c r="E93" i="64"/>
  <c r="D93" i="65"/>
  <c r="C103" i="66" s="1"/>
  <c r="C91" i="66"/>
  <c r="D91" i="65"/>
  <c r="C101" i="66" s="1"/>
  <c r="G46" i="66"/>
  <c r="G76" i="66"/>
  <c r="D46" i="66"/>
  <c r="G78" i="66"/>
  <c r="G48" i="66"/>
  <c r="F48" i="66"/>
  <c r="B48" i="66"/>
  <c r="C46" i="66"/>
  <c r="B40" i="71"/>
  <c r="I40" i="71" s="1"/>
  <c r="D51" i="71" s="1"/>
  <c r="B38" i="71"/>
  <c r="I38" i="71" s="1"/>
  <c r="B39" i="71"/>
  <c r="I39" i="71" s="1"/>
  <c r="C51" i="71" s="1"/>
  <c r="F47" i="66"/>
  <c r="B90" i="66"/>
  <c r="F46" i="66"/>
  <c r="H21" i="72"/>
  <c r="D59" i="71"/>
  <c r="E59" i="71" s="1"/>
  <c r="E92" i="64"/>
  <c r="B27" i="72"/>
  <c r="D25" i="72"/>
  <c r="E25" i="72" s="1"/>
  <c r="I21" i="71"/>
  <c r="D92" i="65"/>
  <c r="C102" i="66" s="1"/>
  <c r="N47" i="66"/>
  <c r="N77" i="66"/>
  <c r="L47" i="66"/>
  <c r="K47" i="66"/>
  <c r="E48" i="66"/>
  <c r="E46" i="66"/>
  <c r="J47" i="66"/>
  <c r="B89" i="66"/>
  <c r="C97" i="65"/>
  <c r="C98" i="65" s="1"/>
  <c r="E77" i="66"/>
  <c r="E47" i="66"/>
  <c r="G21" i="72"/>
  <c r="B66" i="72"/>
  <c r="C66" i="72"/>
  <c r="N76" i="66"/>
  <c r="N46" i="66"/>
  <c r="I46" i="66"/>
  <c r="J46" i="66"/>
  <c r="M46" i="66"/>
  <c r="K46" i="66"/>
  <c r="G77" i="66"/>
  <c r="G47" i="66"/>
  <c r="B47" i="66"/>
  <c r="D47" i="66"/>
  <c r="B50" i="71"/>
  <c r="I33" i="71"/>
  <c r="C48" i="66"/>
  <c r="I47" i="66"/>
  <c r="M47" i="66"/>
  <c r="E105" i="66"/>
  <c r="D97" i="64"/>
  <c r="D98" i="64" s="1"/>
  <c r="D88" i="66"/>
  <c r="E88" i="66" s="1"/>
  <c r="B60" i="71"/>
  <c r="B97" i="65" l="1"/>
  <c r="B98" i="65" s="1"/>
  <c r="C27" i="72"/>
  <c r="D60" i="72"/>
  <c r="D61" i="72" s="1"/>
  <c r="E61" i="72" s="1"/>
  <c r="C33" i="72"/>
  <c r="M38" i="72" s="1"/>
  <c r="D91" i="66"/>
  <c r="E91" i="66" s="1"/>
  <c r="E26" i="72"/>
  <c r="C104" i="66"/>
  <c r="D104" i="66" s="1"/>
  <c r="E104" i="66" s="1"/>
  <c r="E93" i="65"/>
  <c r="E97" i="64"/>
  <c r="E91" i="65"/>
  <c r="D102" i="66"/>
  <c r="E102" i="66" s="1"/>
  <c r="D101" i="66"/>
  <c r="D60" i="71"/>
  <c r="E60" i="71" s="1"/>
  <c r="E38" i="72"/>
  <c r="F38" i="72"/>
  <c r="C38" i="72"/>
  <c r="D38" i="72"/>
  <c r="B38" i="72"/>
  <c r="K71" i="72"/>
  <c r="I71" i="72"/>
  <c r="H71" i="72"/>
  <c r="L71" i="72"/>
  <c r="J71" i="72"/>
  <c r="M71" i="72"/>
  <c r="D103" i="66"/>
  <c r="B61" i="71"/>
  <c r="G71" i="72"/>
  <c r="B71" i="72"/>
  <c r="C71" i="72"/>
  <c r="D71" i="72"/>
  <c r="E71" i="72"/>
  <c r="F71" i="72"/>
  <c r="D89" i="66"/>
  <c r="E89" i="66" s="1"/>
  <c r="D90" i="66"/>
  <c r="E90" i="66" s="1"/>
  <c r="B51" i="71"/>
  <c r="B52" i="71" s="1"/>
  <c r="I37" i="71"/>
  <c r="C52" i="71"/>
  <c r="D52" i="71"/>
  <c r="E92" i="65"/>
  <c r="D27" i="72"/>
  <c r="E27" i="72" s="1"/>
  <c r="B32" i="72"/>
  <c r="C32" i="72"/>
  <c r="G38" i="72"/>
  <c r="C65" i="71"/>
  <c r="B65" i="71"/>
  <c r="D97" i="65" l="1"/>
  <c r="D98" i="65" s="1"/>
  <c r="B67" i="72"/>
  <c r="K38" i="72"/>
  <c r="E60" i="72"/>
  <c r="C67" i="72"/>
  <c r="L72" i="72" s="1"/>
  <c r="L73" i="72" s="1"/>
  <c r="I38" i="72"/>
  <c r="L38" i="72"/>
  <c r="H38" i="72"/>
  <c r="J38" i="72"/>
  <c r="D61" i="71"/>
  <c r="E61" i="71" s="1"/>
  <c r="E97" i="65"/>
  <c r="E101" i="66"/>
  <c r="M37" i="72"/>
  <c r="M39" i="72" s="1"/>
  <c r="H37" i="72"/>
  <c r="I37" i="72"/>
  <c r="K37" i="72"/>
  <c r="K39" i="72" s="1"/>
  <c r="J37" i="72"/>
  <c r="J39" i="72" s="1"/>
  <c r="L37" i="72"/>
  <c r="E103" i="66"/>
  <c r="E70" i="71"/>
  <c r="F70" i="71"/>
  <c r="D37" i="72"/>
  <c r="D39" i="72" s="1"/>
  <c r="B37" i="72"/>
  <c r="B39" i="72" s="1"/>
  <c r="G37" i="72"/>
  <c r="G39" i="72" s="1"/>
  <c r="F37" i="72"/>
  <c r="F39" i="72" s="1"/>
  <c r="E37" i="72"/>
  <c r="E39" i="72" s="1"/>
  <c r="C37" i="72"/>
  <c r="C39" i="72" s="1"/>
  <c r="D72" i="72"/>
  <c r="D73" i="72" s="1"/>
  <c r="E72" i="72"/>
  <c r="E73" i="72" s="1"/>
  <c r="F72" i="72"/>
  <c r="F73" i="72" s="1"/>
  <c r="B72" i="72"/>
  <c r="B73" i="72" s="1"/>
  <c r="G72" i="72"/>
  <c r="G73" i="72" s="1"/>
  <c r="C72" i="72"/>
  <c r="C73" i="72" s="1"/>
  <c r="B70" i="71"/>
  <c r="C70" i="71"/>
  <c r="D70" i="71"/>
  <c r="C66" i="71"/>
  <c r="B66" i="71"/>
  <c r="I72" i="72" l="1"/>
  <c r="I73" i="72" s="1"/>
  <c r="K72" i="72"/>
  <c r="K73" i="72" s="1"/>
  <c r="H72" i="72"/>
  <c r="H73" i="72" s="1"/>
  <c r="J72" i="72"/>
  <c r="J73" i="72" s="1"/>
  <c r="M72" i="72"/>
  <c r="M73" i="72" s="1"/>
  <c r="L39" i="72"/>
  <c r="H39" i="72"/>
  <c r="I39" i="72"/>
  <c r="B71" i="71"/>
  <c r="B72" i="71" s="1"/>
  <c r="C71" i="71"/>
  <c r="C21" i="66" s="1"/>
  <c r="C11" i="66"/>
  <c r="K11" i="66"/>
  <c r="F71" i="71"/>
  <c r="K21" i="66" s="1"/>
  <c r="E71" i="71"/>
  <c r="J21" i="66" s="1"/>
  <c r="B11" i="66"/>
  <c r="B76" i="71"/>
  <c r="D71" i="71"/>
  <c r="D72" i="71" s="1"/>
  <c r="J11" i="66"/>
  <c r="I11" i="66"/>
  <c r="C76" i="71"/>
  <c r="C33" i="66" l="1"/>
  <c r="J33" i="66"/>
  <c r="K33" i="66"/>
  <c r="F72" i="71"/>
  <c r="C72" i="71"/>
  <c r="D76" i="71"/>
  <c r="E76" i="71" s="1"/>
  <c r="E72" i="71"/>
  <c r="I21" i="66"/>
  <c r="I33" i="66" s="1"/>
  <c r="C77" i="71"/>
  <c r="C78" i="71" s="1"/>
  <c r="C87" i="66" s="1"/>
  <c r="B21" i="66"/>
  <c r="B33" i="66" s="1"/>
  <c r="B77" i="71"/>
  <c r="B78" i="71" s="1"/>
  <c r="C44" i="66" l="1"/>
  <c r="B44" i="66"/>
  <c r="C94" i="66"/>
  <c r="B87" i="66"/>
  <c r="I44" i="66"/>
  <c r="K44" i="66"/>
  <c r="D77" i="71"/>
  <c r="C100" i="66" s="1"/>
  <c r="B100" i="66"/>
  <c r="J44" i="66"/>
  <c r="D78" i="71" l="1"/>
  <c r="D79" i="71" s="1"/>
  <c r="E77" i="71"/>
  <c r="D100" i="66"/>
  <c r="B107" i="66"/>
  <c r="C107" i="66"/>
  <c r="D87" i="66"/>
  <c r="E87" i="66" s="1"/>
  <c r="B94" i="66"/>
  <c r="E78" i="71" l="1"/>
  <c r="D107" i="66"/>
  <c r="E107" i="66" s="1"/>
  <c r="D94" i="66"/>
  <c r="D95" i="66" s="1"/>
  <c r="E100" i="66"/>
  <c r="E94" i="66" l="1"/>
</calcChain>
</file>

<file path=xl/sharedStrings.xml><?xml version="1.0" encoding="utf-8"?>
<sst xmlns="http://schemas.openxmlformats.org/spreadsheetml/2006/main" count="1249" uniqueCount="232">
  <si>
    <t>Nivel de Tensión</t>
  </si>
  <si>
    <t>TOTAL</t>
  </si>
  <si>
    <t>Transporte</t>
  </si>
  <si>
    <t>Periodo Tarifario</t>
  </si>
  <si>
    <t>Total</t>
  </si>
  <si>
    <t>Coste de Transporte y Distribución (%)</t>
  </si>
  <si>
    <t>Potencia</t>
  </si>
  <si>
    <t>Energía</t>
  </si>
  <si>
    <t>%</t>
  </si>
  <si>
    <t>Pérdidas</t>
  </si>
  <si>
    <t>NT0</t>
  </si>
  <si>
    <t>NT1</t>
  </si>
  <si>
    <t>NT2</t>
  </si>
  <si>
    <t>NT3</t>
  </si>
  <si>
    <t>NT4</t>
  </si>
  <si>
    <t>Periodo 1</t>
  </si>
  <si>
    <t>Periodo 2</t>
  </si>
  <si>
    <t>Periodo 3</t>
  </si>
  <si>
    <t>Periodo 4</t>
  </si>
  <si>
    <t>Periodo 5</t>
  </si>
  <si>
    <t>Periodo 6</t>
  </si>
  <si>
    <t>5.- Energía Consumida por nivel de tensión y periodo tarifario (GWh)</t>
  </si>
  <si>
    <t>6.- Potencia Contratada por nivel de tensión y periodo tarifario (MW)</t>
  </si>
  <si>
    <t>Nº horas</t>
  </si>
  <si>
    <t>Retribución del transporte</t>
  </si>
  <si>
    <r>
      <rPr>
        <b/>
        <sz val="10"/>
        <rFont val="Calibri"/>
        <family val="2"/>
      </rPr>
      <t xml:space="preserve">± </t>
    </r>
    <r>
      <rPr>
        <b/>
        <sz val="10"/>
        <rFont val="Arial"/>
        <family val="2"/>
      </rPr>
      <t>TSO</t>
    </r>
  </si>
  <si>
    <r>
      <rPr>
        <b/>
        <sz val="10"/>
        <rFont val="Calibri"/>
        <family val="2"/>
      </rPr>
      <t xml:space="preserve">± </t>
    </r>
    <r>
      <rPr>
        <b/>
        <sz val="10"/>
        <rFont val="Arial"/>
        <family val="2"/>
      </rPr>
      <t>Desvíos de ejercicios anteriores</t>
    </r>
  </si>
  <si>
    <t>no aplica</t>
  </si>
  <si>
    <t>TSO</t>
  </si>
  <si>
    <r>
      <rPr>
        <b/>
        <sz val="10"/>
        <rFont val="Calibri"/>
        <family val="2"/>
      </rPr>
      <t>±</t>
    </r>
    <r>
      <rPr>
        <b/>
        <sz val="10"/>
        <rFont val="Arial"/>
        <family val="2"/>
      </rPr>
      <t>Desvíos de ejercicios anteriores</t>
    </r>
  </si>
  <si>
    <t>Incentivo a la disponibilidad</t>
  </si>
  <si>
    <t>Retribución Inversión, O&amp;M y OTD</t>
  </si>
  <si>
    <t>+ Retribución distribución</t>
  </si>
  <si>
    <t>Retribución de la actividad de distribución que se recupera a través de peajes (miles €)</t>
  </si>
  <si>
    <t>Ingresos de peajes</t>
  </si>
  <si>
    <t xml:space="preserve">Retribución </t>
  </si>
  <si>
    <t>Retribución de la actividad de transporte que se recupera a través de peajes (miles €)</t>
  </si>
  <si>
    <t>1 kV &lt; NT &lt; 30 kV</t>
  </si>
  <si>
    <t>30 kV ≤ NT &lt; 72,5 kV</t>
  </si>
  <si>
    <t>72,5 kV ≤ NT &lt; 145 kV</t>
  </si>
  <si>
    <t>NT ≥ 145 kV</t>
  </si>
  <si>
    <t>Paso a escalones intermedios</t>
  </si>
  <si>
    <t>a 72,5-30 kV</t>
  </si>
  <si>
    <t>a 30-1 kV</t>
  </si>
  <si>
    <t>a BT</t>
  </si>
  <si>
    <t>Consumo</t>
  </si>
  <si>
    <t>%Consumo por NT</t>
  </si>
  <si>
    <t>Pérdidas (%)</t>
  </si>
  <si>
    <t>Flujos de energía (MWh). Periodo 1</t>
  </si>
  <si>
    <r>
      <t xml:space="preserve">NT </t>
    </r>
    <r>
      <rPr>
        <sz val="10"/>
        <rFont val="Arial"/>
        <family val="2"/>
      </rPr>
      <t>≤</t>
    </r>
    <r>
      <rPr>
        <sz val="10"/>
        <rFont val="Arial"/>
        <family val="2"/>
      </rPr>
      <t xml:space="preserve"> 1 kV</t>
    </r>
  </si>
  <si>
    <t>NT ≤ 1 kV</t>
  </si>
  <si>
    <t>Nivel de tensión</t>
  </si>
  <si>
    <r>
      <t>a</t>
    </r>
    <r>
      <rPr>
        <vertAlign val="superscript"/>
        <sz val="10"/>
        <color theme="0"/>
        <rFont val="Arial"/>
        <family val="2"/>
      </rPr>
      <t xml:space="preserve">i </t>
    </r>
    <r>
      <rPr>
        <vertAlign val="subscript"/>
        <sz val="10"/>
        <color theme="0"/>
        <rFont val="Arial"/>
        <family val="2"/>
      </rPr>
      <t>j, P</t>
    </r>
  </si>
  <si>
    <t>Nivel de tensión tarifario</t>
  </si>
  <si>
    <r>
      <t>a</t>
    </r>
    <r>
      <rPr>
        <vertAlign val="superscript"/>
        <sz val="12"/>
        <color theme="1"/>
        <rFont val="Arial"/>
        <family val="2"/>
      </rPr>
      <t xml:space="preserve">0 </t>
    </r>
    <r>
      <rPr>
        <vertAlign val="subscript"/>
        <sz val="12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</si>
  <si>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>1 1</t>
    </r>
    <r>
      <rPr>
        <vertAlign val="subscript"/>
        <sz val="12"/>
        <color theme="1"/>
        <rFont val="Arial"/>
        <family val="2"/>
      </rPr>
      <t>, p</t>
    </r>
  </si>
  <si>
    <r>
      <t>a</t>
    </r>
    <r>
      <rPr>
        <vertAlign val="superscript"/>
        <sz val="12"/>
        <color theme="1"/>
        <rFont val="Arial"/>
        <family val="2"/>
      </rPr>
      <t xml:space="preserve">1 </t>
    </r>
    <r>
      <rPr>
        <vertAlign val="subscript"/>
        <sz val="12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</si>
  <si>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</si>
  <si>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</si>
  <si>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2"/>
        <color theme="1"/>
        <rFont val="Arial"/>
        <family val="2"/>
      </rPr>
      <t xml:space="preserve">2 </t>
    </r>
    <r>
      <rPr>
        <vertAlign val="subscript"/>
        <sz val="11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</si>
  <si>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3,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</si>
  <si>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</si>
  <si>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</si>
  <si>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0"/>
        <color theme="1"/>
        <rFont val="Arial"/>
        <family val="2"/>
      </rPr>
      <t xml:space="preserve">3 </t>
    </r>
    <r>
      <rPr>
        <vertAlign val="subscript"/>
        <sz val="11"/>
        <color theme="1"/>
        <rFont val="Arial"/>
        <family val="2"/>
      </rPr>
      <t>0,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</si>
  <si>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4,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</si>
  <si>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3, p</t>
    </r>
  </si>
  <si>
    <r>
      <t>a</t>
    </r>
    <r>
      <rPr>
        <vertAlign val="superscript"/>
        <sz val="12"/>
        <color theme="1"/>
        <rFont val="Arial"/>
        <family val="2"/>
      </rPr>
      <t>4</t>
    </r>
    <r>
      <rPr>
        <vertAlign val="subscript"/>
        <sz val="11"/>
        <color theme="1"/>
        <rFont val="Arial"/>
        <family val="2"/>
      </rPr>
      <t>2, p</t>
    </r>
  </si>
  <si>
    <r>
      <t>a</t>
    </r>
    <r>
      <rPr>
        <vertAlign val="superscript"/>
        <sz val="12"/>
        <color theme="1"/>
        <rFont val="Arial"/>
        <family val="2"/>
      </rPr>
      <t xml:space="preserve">4 </t>
    </r>
    <r>
      <rPr>
        <vertAlign val="subscript"/>
        <sz val="11"/>
        <color theme="1"/>
        <rFont val="Arial"/>
        <family val="2"/>
      </rPr>
      <t>1, p</t>
    </r>
  </si>
  <si>
    <r>
      <t>a</t>
    </r>
    <r>
      <rPr>
        <vertAlign val="superscript"/>
        <sz val="10"/>
        <color theme="1"/>
        <rFont val="Arial"/>
        <family val="2"/>
      </rPr>
      <t>4</t>
    </r>
    <r>
      <rPr>
        <vertAlign val="superscript"/>
        <sz val="12"/>
        <color theme="1"/>
        <rFont val="Arial"/>
        <family val="2"/>
      </rPr>
      <t xml:space="preserve"> </t>
    </r>
    <r>
      <rPr>
        <vertAlign val="subscript"/>
        <sz val="11"/>
        <color theme="1"/>
        <rFont val="Arial"/>
        <family val="2"/>
      </rPr>
      <t>0, p</t>
    </r>
  </si>
  <si>
    <t>Asignación</t>
  </si>
  <si>
    <t>a 72,5 kV-145 kV</t>
  </si>
  <si>
    <t>Flujos de energía (MWh). Periodo 2</t>
  </si>
  <si>
    <t>Flujos de energía (MWh). Periodo 3</t>
  </si>
  <si>
    <t>Flujos de energía (MWh). Periodo 4</t>
  </si>
  <si>
    <t>Flujos de energía (MWh). Periodo 5</t>
  </si>
  <si>
    <t>Flujos de energía (MWh). Periodo 6</t>
  </si>
  <si>
    <t>Flujos de potencia (MW). Periodo 1</t>
  </si>
  <si>
    <t>Flujos de potencia (MW). Periodo 2</t>
  </si>
  <si>
    <t>Flujos de potencia (MW). Periodo 3</t>
  </si>
  <si>
    <t>Flujos de potencia (MW). Periodo 4</t>
  </si>
  <si>
    <t>Flujos de potencia (MW). Periodo 5</t>
  </si>
  <si>
    <t>Flujos de potencia (MW). Periodo 6</t>
  </si>
  <si>
    <t>Retribución de distribución</t>
  </si>
  <si>
    <t xml:space="preserve">NT2 </t>
  </si>
  <si>
    <t xml:space="preserve">NT1 </t>
  </si>
  <si>
    <t>Retribución de redes a recuperar por nivel de tensión tarifario 
(miles €)</t>
  </si>
  <si>
    <t>% de coste sobre total</t>
  </si>
  <si>
    <t>% de la retribución a recuperar a través del término de potencia</t>
  </si>
  <si>
    <t>Retribución de cada nivel de tensión tarifario a recuperar a través del término de potencia (miles €)</t>
  </si>
  <si>
    <t>% de la retribución a recuperar a través del término de energía</t>
  </si>
  <si>
    <t>Retribución de cada nivel de tensión tarifario a recuperar a través del término de energía (miles €)</t>
  </si>
  <si>
    <t>Retribución total</t>
  </si>
  <si>
    <t>Asignación del coste del nivel de tensión por periodo tarifario</t>
  </si>
  <si>
    <t>Periodo horario</t>
  </si>
  <si>
    <t>Participación de cada periodo en las H primeras horas de la monótona</t>
  </si>
  <si>
    <t>Término de potencia</t>
  </si>
  <si>
    <t>Término de energía</t>
  </si>
  <si>
    <t>Grupo tarifario</t>
  </si>
  <si>
    <t>2.0 TD</t>
  </si>
  <si>
    <t>3.0 TD</t>
  </si>
  <si>
    <t>6.1 TD</t>
  </si>
  <si>
    <t>6.2 TD</t>
  </si>
  <si>
    <t>6.3 TD</t>
  </si>
  <si>
    <t>6.4 TD</t>
  </si>
  <si>
    <t>Retribución a recuperar con cargo al término de potencia de los peajes en cada periodo horario (miles €) (A)</t>
  </si>
  <si>
    <t>Potencia contratada por periodo horario (MW) (B)</t>
  </si>
  <si>
    <t>Coste unitario a recuperar con cargo al término de potencia de los peajes en cada periodo horario (€/kW año) (A)/(B)</t>
  </si>
  <si>
    <t>Entradas</t>
  </si>
  <si>
    <t>1. Retribución que de Transporte y Distribución</t>
  </si>
  <si>
    <t>1.1 Retribución del transporte</t>
  </si>
  <si>
    <t>1.2. Retribución de la distribución</t>
  </si>
  <si>
    <t>Coste unitario a recuperar con cargo al término de energía de los peajes en cada periodo horario (€/kWh) (A)/(B)</t>
  </si>
  <si>
    <t>Energía consumida por periodo horario (MWh) (B)</t>
  </si>
  <si>
    <t>2. Relación de precios respecto del periodo 6</t>
  </si>
  <si>
    <t>3. Relación de precios respecto del nivel de tensión 4</t>
  </si>
  <si>
    <t>Fuente: Circular 4/2015, de 22 de julio, de la CNMC</t>
  </si>
  <si>
    <t>3. Asignación de la retribución entre potencia y energía</t>
  </si>
  <si>
    <t>2. Asignación de la retribución de la distribución por nivel de tensión</t>
  </si>
  <si>
    <t>4. Participación de los periodos en la H primeras horas de la mónotona</t>
  </si>
  <si>
    <t>4.1 Horas a efecto de la asignación de la retribución al término de potencia por periodo tarifario</t>
  </si>
  <si>
    <t>4.2 Horas a efecto de la asignación de la retribución al término de energia por periodo tarifario</t>
  </si>
  <si>
    <t>4. Diseño de precios</t>
  </si>
  <si>
    <t>Término de potencia de los peajes (€/kW año)</t>
  </si>
  <si>
    <t>Término de energía de los peajes (€/kWh)</t>
  </si>
  <si>
    <t>% potencia sobre total</t>
  </si>
  <si>
    <t>Facturación peaje de transporte (miles €)</t>
  </si>
  <si>
    <t>Retribución a recuperar con cargo al término de energía de los peajes en cada periodo horario (miles €) (A)</t>
  </si>
  <si>
    <t>3. Relación de precios respecto del nivel de tensión 3</t>
  </si>
  <si>
    <t>5. Facturación por peaje de distribución</t>
  </si>
  <si>
    <t>Facturación peaje de T&amp;D (miles €)</t>
  </si>
  <si>
    <t xml:space="preserve">Distribución </t>
  </si>
  <si>
    <t>% transporte sobre total</t>
  </si>
  <si>
    <t>Ingesos por peajes de transporte</t>
  </si>
  <si>
    <t>4. Facturación por peaje de transporte y  distribución</t>
  </si>
  <si>
    <t>4.1 Relación fijo vs variable</t>
  </si>
  <si>
    <t>4.2 Relación transporte vs distribución</t>
  </si>
  <si>
    <t>Retribución del propio nivel de tensión que se debe recuperar con cargo al término de energía de los peajes en cada periodo horario (miles €) (A)</t>
  </si>
  <si>
    <t>Término de energía de los peajes de autoconsumidores por la energía autoconsumida en el caso instalaciones próximas (€/kWh) (A)/(B)</t>
  </si>
  <si>
    <t>Peaje</t>
  </si>
  <si>
    <t>Periodo</t>
  </si>
  <si>
    <t xml:space="preserve">Discriminación horaria de tres periodos
</t>
  </si>
  <si>
    <t>Conversión de la facturación (miles €) de la DH6 a la DH3 (E) = (C) * (D)</t>
  </si>
  <si>
    <t>Peaje T&amp;D</t>
  </si>
  <si>
    <t>Energía por  periodo horario (MWh) (A)</t>
  </si>
  <si>
    <t xml:space="preserve">Facturación por término de energía (miles €) (C) = (A) * (B) </t>
  </si>
  <si>
    <t>Facturación por periodo de la DH3 
(miles €)</t>
  </si>
  <si>
    <t>Distribución</t>
  </si>
  <si>
    <t xml:space="preserve">Distribución
</t>
  </si>
  <si>
    <t>Término de enegía de los peajes  (€/kWh) (B)</t>
  </si>
  <si>
    <t>Total facturación (miles €)</t>
  </si>
  <si>
    <t>Total T&amp;D</t>
  </si>
  <si>
    <t>2. Ajuste de los precios a la relación fijo variable de 75%-25%</t>
  </si>
  <si>
    <t>Peaje T</t>
  </si>
  <si>
    <t>Peaje D</t>
  </si>
  <si>
    <t>Facturación peaje 2.0 TD (miles €)</t>
  </si>
  <si>
    <t>Coeficientes del peaje 2.0 TD</t>
  </si>
  <si>
    <t>Término de potencia
(A)</t>
  </si>
  <si>
    <t>Término de energía
(B)</t>
  </si>
  <si>
    <t>Total
(C)</t>
  </si>
  <si>
    <t>Término de potencia
(C) * 75% / (A)</t>
  </si>
  <si>
    <t>Término de energía
(C) * 25% / (B)</t>
  </si>
  <si>
    <t>Términos de energía de la DH3 (€/kWh) (E) / (F)</t>
  </si>
  <si>
    <t>1. Determinación del peaje 3.0 TDVE</t>
  </si>
  <si>
    <t>Potencia contratada (kW)</t>
  </si>
  <si>
    <t>Tiempo de recarga (min)</t>
  </si>
  <si>
    <t>Consumo por recarga (kWh)</t>
  </si>
  <si>
    <t>Hipótesis</t>
  </si>
  <si>
    <t>Utilización de la potencia</t>
  </si>
  <si>
    <t>Consumo anual (kWh)</t>
  </si>
  <si>
    <t>Facturación al peaje 3.0 TD (miles €)</t>
  </si>
  <si>
    <t>Coeficientes de ajuste para obtener el peaje 3.0 TDVE</t>
  </si>
  <si>
    <t>Término de potencia del peaje 3.0 TD (€/kW año) (A)</t>
  </si>
  <si>
    <t>Términos de energía del peaje 3.0 TD (€/kWh) (B)</t>
  </si>
  <si>
    <t>Término de potencia
(C)</t>
  </si>
  <si>
    <t>Término de energía
(D)</t>
  </si>
  <si>
    <t>Total
(E)</t>
  </si>
  <si>
    <t>Término de potencia
(F) = (E) * 20% / (C)</t>
  </si>
  <si>
    <t>Término de energía
(G) = (E) * 80% / (D)</t>
  </si>
  <si>
    <t>Término de potencia del peaje 3.0 TDVE (€/kW año) (A) * (F)</t>
  </si>
  <si>
    <t>Términos de energía del peaje 3.0 TDVE (€/kWh) (B) * (G)</t>
  </si>
  <si>
    <t>2. Determinación del peaje 6.1 TDVE</t>
  </si>
  <si>
    <t>Término de potencia del peaje 6.1 TD (€/kW año) (A)</t>
  </si>
  <si>
    <t>Términos de energía del peaje 6.1 TD (€/kWh) (B)</t>
  </si>
  <si>
    <t>Facturación al peaje 6.1 TD (miles €)</t>
  </si>
  <si>
    <t>I.- Datos de Entrada</t>
  </si>
  <si>
    <t>IIIa.- Coeficientes de asignación de la retribución de cada nivel tarifario y periodo al término de potencia del propio nivel de tensión y niveles de tensión inferiores, según calendario propuesto por la CNMC</t>
  </si>
  <si>
    <t>IIIb.- Coeficientes de asignación de la retribución de cada nivel tarifario y periodo al término de energía del propio nivel de tensión y niveles de tensión inferiores, según calendario propuesto por la CNMC</t>
  </si>
  <si>
    <t>IVa. Asignación de la retribución que se debe recuperar a través de los peajes por nivel de tensión</t>
  </si>
  <si>
    <t>IVb. Asignación de la retribución de cada nivel de tensión a los términos de potencia y energía</t>
  </si>
  <si>
    <t>IVc. Asignación de la retribución de cada nivel de tensión y término de facturación por periodo horario</t>
  </si>
  <si>
    <t>IVd. Asignación de la retribución de cada nivel de tensión a recuperar por  término de facturación y periodo al propio nivel de tensión y a niveles de tensión inferiores</t>
  </si>
  <si>
    <t>Va.1. Determinación de los peajes de transporte</t>
  </si>
  <si>
    <t>Vb.1. Determinación de los peajes de distribución</t>
  </si>
  <si>
    <t>VII.2. Relación de precios respecto del periodo 6</t>
  </si>
  <si>
    <t>IX. Peajes de aplicación a puntos de suministro dedicados en exclusividad a la recarga de vehículos electricos</t>
  </si>
  <si>
    <t>1. Asignación de la retribución de cada nivel de tensión que se recupera por el término de potencia por periodo horario</t>
  </si>
  <si>
    <t>2. Asignación de la retribución de cada nivel de tensión que se recupera por el término de energía por periodo horario</t>
  </si>
  <si>
    <t>1. Asignación de la retribución de cada nivel de tensión a recuperar por el término de potencia y periodo al propio nivel de tensión y a niveles de tensión inferiores</t>
  </si>
  <si>
    <t>2. Asignación de la retribución de cada nivel de tensión a recuperar por el término de energía y periodo al propio nivel de tensión y a niveles de tensión inferiores</t>
  </si>
  <si>
    <t>4. Facturación por peaje de transporte</t>
  </si>
  <si>
    <t>1. Peajes de distribución</t>
  </si>
  <si>
    <t>1. Peajes de transporte</t>
  </si>
  <si>
    <t>VI.Diseño del Peaje 2.0 TD</t>
  </si>
  <si>
    <t>1 Conversión del peaje 2.0 TD de seis periodos a tres periodos</t>
  </si>
  <si>
    <t>VII.1. Determinación de los peajes de transporte y distribución</t>
  </si>
  <si>
    <t>VII. Determinación de los pagos de autoconsumidores por la energía autoconsumida en el caso de instalaciones próximas</t>
  </si>
  <si>
    <t>Previsión de consumo por periodo de la DH3 (F)</t>
  </si>
  <si>
    <t>2.0 TD con 3P</t>
  </si>
  <si>
    <t>2.0 TD con 6P</t>
  </si>
  <si>
    <t>Discriminación horaria de tres periodos</t>
  </si>
  <si>
    <t>7.- Porcentajes de conversión del consumo de 3P a 6P</t>
  </si>
  <si>
    <t>Coeficientes de conversión de la discriminación horaria de seis periodos a tres periodos (D)</t>
  </si>
  <si>
    <t>8.- Porcentajes de conversión del consumo de 6P a 3P</t>
  </si>
  <si>
    <t>Fuente: Curvas de carga de consumidores conectados en baja tensión con potencia contratada inferior a 15 kW. Sistema peninsular. Año 2019</t>
  </si>
  <si>
    <t>Fuente: Circular 3/2020</t>
  </si>
  <si>
    <t>Fuente: Curvas de carga del sistema peninular, balances de energía, y calendario propuesta Circular para el ejercicio 2019</t>
  </si>
  <si>
    <t>IIa.- Balances de potencia. Circular 3/2020. Año 2019</t>
  </si>
  <si>
    <t>IIb.- Balances de energía. Circular 3/2020. Año 2019</t>
  </si>
  <si>
    <t>Coeficientes de ajuste para obtener el peaje 6.1 TDVE</t>
  </si>
  <si>
    <t>Término de potencia del peaje 6.1 TDVE (€/kW año) (A) * (F)</t>
  </si>
  <si>
    <t>Términos de energía del peaje 6.1 TDVE (€/kWh) (B) * (G)</t>
  </si>
  <si>
    <t xml:space="preserve">1. Peajes de transporte </t>
  </si>
  <si>
    <t>Nota (1) y (2): valores redondeados a 6 cifras a efectos de su publicación</t>
  </si>
  <si>
    <t>2. Peajes de distribución</t>
  </si>
  <si>
    <t>3. Peajes de transporte y distribución</t>
  </si>
  <si>
    <t>Término de energía de los peajes de autoconsumidores por la energía autoconsumida en el caso instalaciones próximas (€/kWh) corregidas las discontinuidades</t>
  </si>
  <si>
    <t xml:space="preserve">Término de energía de los peajes de autoconsumidores por la energía autoconsumida en el caso instalaciones próximas (€/kWh) </t>
  </si>
  <si>
    <t>Fuente: Previsión CNMC 2022</t>
  </si>
  <si>
    <t xml:space="preserve">Retribución definitiva transporte 2016-2021 </t>
  </si>
  <si>
    <t>Retribución provisional 2022</t>
  </si>
  <si>
    <t>Fuente: Previsión CNMC Circular 5/2020</t>
  </si>
  <si>
    <t>Fuente: Previsión CNMC Circular 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</si>
</sst>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7">
    <numFmt numFmtId="164" formatCode="_-* #,##0\ _€_-;\-* #,##0\ _€_-;_-* &quot;-&quot;\ _€_-;_-@_-"/>
    <numFmt numFmtId="165" formatCode="_-* #,##0.00\ _€_-;\-* #,##0.00\ _€_-;_-* &quot;-&quot;??\ _€_-;_-@_-"/>
    <numFmt numFmtId="166" formatCode="_-* #,##0\ _P_t_a_-;\-* #,##0\ _P_t_a_-;_-* &quot;-&quot;\ _P_t_a_-;_-@_-"/>
    <numFmt numFmtId="167" formatCode="_-* #,##0.00\ _P_t_a_-;\-* #,##0.00\ _P_t_a_-;_-* &quot;-&quot;??\ _P_t_a_-;_-@_-"/>
    <numFmt numFmtId="168" formatCode="#,##0_ ;\-#,##0\ "/>
    <numFmt numFmtId="169" formatCode="0.0%"/>
    <numFmt numFmtId="170" formatCode="#,##0.000"/>
    <numFmt numFmtId="171" formatCode="_-\ #,##0\ _€_-;\-\ #,##0\ _€_-;_-\ &quot;-&quot;??\ _€_-;_-@_-"/>
    <numFmt numFmtId="172" formatCode="_-* #,##0\ _€_-;\-* #,##0\ _€_-;_-* &quot;-&quot;??\ _€_-;_-@_-"/>
    <numFmt numFmtId="173" formatCode="[$-C0A]mmm\-yy;@"/>
    <numFmt numFmtId="174" formatCode="_-* #,##0.0\ _P_t_a_-;\-* #,##0.0\ _P_t_a_-;_-* &quot;-&quot;\ _P_t_a_-;_-@_-"/>
    <numFmt numFmtId="175" formatCode="_-* #,##0.000\ _P_t_a_-;\-* #,##0.000\ _P_t_a_-;_-* &quot;-&quot;??\ _P_t_a_-;_-@_-"/>
    <numFmt numFmtId="176" formatCode="#,##0.00000"/>
    <numFmt numFmtId="177" formatCode="_-* #,##0.00000\ _P_t_a_-;\-* #,##0.00000\ _P_t_a_-;_-* &quot;-&quot;??\ _P_t_a_-;_-@_-"/>
    <numFmt numFmtId="178" formatCode="_-* #,##0.0000\ _€_-;\-* #,##0.0000\ _€_-;_-* &quot;-&quot;??\ _€_-;_-@_-"/>
    <numFmt numFmtId="179" formatCode="_-* #,##0\ _€_-;\-* #,##0\ _€_-;_-* &quot;-&quot;????\ _€_-;_-@_-"/>
    <numFmt numFmtId="180" formatCode="_-* #,##0.0\ _P_t_a_-;\-* #,##0.0\ _P_t_a_-;_-* &quot;-&quot;??\ _P_t_a_-;_-@_-"/>
    <numFmt numFmtId="181" formatCode="_-* #,##0.000000\ _€_-;\-* #,##0.000000\ _€_-;_-* &quot;-&quot;??\ _€_-;_-@_-"/>
    <numFmt numFmtId="182" formatCode="_-* #,##0\ _P_t_a_-;\-* #,##0\ _P_t_a_-;_-* &quot;-&quot;??\ _P_t_a_-;_-@_-"/>
    <numFmt numFmtId="183" formatCode="_-* #,##0.0000\ _€_-;\-* #,##0.0000\ _€_-;_-* &quot;-&quot;????\ _€_-;_-@_-"/>
    <numFmt numFmtId="184" formatCode="_-* #,##0.000000\ _€_-;\-* #,##0.000000\ _€_-;_-* &quot;-&quot;??????\ _€_-;_-@_-"/>
    <numFmt numFmtId="185" formatCode="_-* #,##0.0\ _€_-;\-* #,##0.0\ _€_-;_-* &quot;-&quot;?\ _€_-;_-@_-"/>
    <numFmt numFmtId="186" formatCode="_-* #,##0.0000000\ _P_t_a_-;\-* #,##0.0000000\ _P_t_a_-;_-* &quot;-&quot;??\ _P_t_a_-;_-@_-"/>
    <numFmt numFmtId="187" formatCode="_-* #,##0.000\ _€_-;\-* #,##0.000\ _€_-;_-* &quot;-&quot;??\ _€_-;_-@_-"/>
    <numFmt numFmtId="188" formatCode="_-* #,##0.0000\ _P_t_a_-;\-* #,##0.0000\ _P_t_a_-;_-* &quot;-&quot;??\ _P_t_a_-;_-@_-"/>
    <numFmt numFmtId="189" formatCode="_-* #,##0.000000\ _P_t_a_-;\-* #,##0.000000\ _P_t_a_-;_-* &quot;-&quot;??\ _P_t_a_-;_-@_-"/>
    <numFmt numFmtId="190" formatCode="_-* #,##0.00000\ _€_-;\-* #,##0.00000\ _€_-;_-* &quot;-&quot;??\ _€_-;_-@_-"/>
  </numFmts>
  <fonts count="66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0"/>
      <color indexed="9"/>
      <name val="Arial"/>
      <family val="2"/>
    </font>
    <font>
      <sz val="15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i/>
      <sz val="10"/>
      <color theme="0"/>
      <name val="Arial"/>
      <family val="2"/>
    </font>
    <font>
      <i/>
      <sz val="10"/>
      <color theme="1"/>
      <name val="Arial"/>
      <family val="2"/>
    </font>
    <font>
      <b/>
      <sz val="10"/>
      <name val="Calibri"/>
      <family val="2"/>
    </font>
    <font>
      <i/>
      <sz val="10"/>
      <color indexed="62"/>
      <name val="Arial"/>
      <family val="2"/>
    </font>
    <font>
      <sz val="10"/>
      <color indexed="62"/>
      <name val="Arial"/>
      <family val="2"/>
    </font>
    <font>
      <sz val="11"/>
      <color indexed="8"/>
      <name val="Calibri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name val="Arial"/>
      <family val="2"/>
    </font>
    <font>
      <sz val="11"/>
      <color theme="0"/>
      <name val="Symbol"/>
      <family val="1"/>
      <charset val="2"/>
    </font>
    <font>
      <vertAlign val="superscript"/>
      <sz val="10"/>
      <color theme="0"/>
      <name val="Arial"/>
      <family val="2"/>
    </font>
    <font>
      <vertAlign val="subscript"/>
      <sz val="10"/>
      <color theme="0"/>
      <name val="Arial"/>
      <family val="2"/>
    </font>
    <font>
      <sz val="12"/>
      <color theme="1"/>
      <name val="Symbol"/>
      <family val="1"/>
      <charset val="2"/>
    </font>
    <font>
      <vertAlign val="superscript"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vertAlign val="subscript"/>
      <sz val="11"/>
      <color theme="1"/>
      <name val="Arial"/>
      <family val="2"/>
    </font>
    <font>
      <vertAlign val="superscript"/>
      <sz val="10"/>
      <color theme="1"/>
      <name val="Arial"/>
      <family val="2"/>
    </font>
    <font>
      <b/>
      <i/>
      <sz val="15"/>
      <name val="Arial"/>
      <family val="2"/>
    </font>
    <font>
      <b/>
      <sz val="14"/>
      <name val="Arial"/>
      <family val="2"/>
    </font>
    <font>
      <b/>
      <i/>
      <sz val="13"/>
      <color theme="1"/>
      <name val="Arial"/>
      <family val="2"/>
    </font>
    <font>
      <i/>
      <sz val="13"/>
      <color theme="1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55"/>
        <bgColor indexed="64"/>
      </patternFill>
    </fill>
    <fill>
      <patternFill patternType="solid">
        <fgColor rgb="FFFF6D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medium">
        <color indexed="64"/>
      </right>
      <top style="thin">
        <color indexed="9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thin">
        <color indexed="9"/>
      </right>
      <top style="medium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317">
    <xf numFmtId="0" fontId="0" fillId="0" borderId="0"/>
    <xf numFmtId="166" fontId="12" fillId="0" borderId="0" applyFont="0" applyFill="0" applyBorder="0" applyAlignment="0" applyProtection="0"/>
    <xf numFmtId="166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167" fontId="24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5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7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9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1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3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15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6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8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0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2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4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9" fillId="16" borderId="0" applyNumberFormat="0" applyBorder="0" applyAlignment="0" applyProtection="0"/>
    <xf numFmtId="173" fontId="12" fillId="0" borderId="0" applyFont="0" applyFill="0" applyBorder="0" applyAlignment="0" applyProtection="0"/>
    <xf numFmtId="3" fontId="29" fillId="17" borderId="0"/>
    <xf numFmtId="3" fontId="30" fillId="17" borderId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73" fontId="9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173" fontId="12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0" fontId="12" fillId="0" borderId="0"/>
    <xf numFmtId="173" fontId="12" fillId="0" borderId="0"/>
    <xf numFmtId="0" fontId="12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173" fontId="9" fillId="0" borderId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173" fontId="9" fillId="4" borderId="67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73" fontId="12" fillId="0" borderId="0"/>
    <xf numFmtId="165" fontId="12" fillId="0" borderId="0" applyFont="0" applyFill="0" applyBorder="0" applyAlignment="0" applyProtection="0"/>
    <xf numFmtId="9" fontId="33" fillId="0" borderId="0" applyFont="0" applyFill="0" applyBorder="0" applyAlignment="0" applyProtection="0"/>
    <xf numFmtId="173" fontId="31" fillId="20" borderId="0" applyNumberFormat="0" applyBorder="0" applyAlignment="0" applyProtection="0"/>
    <xf numFmtId="173" fontId="31" fillId="21" borderId="0" applyNumberFormat="0" applyBorder="0" applyAlignment="0" applyProtection="0"/>
    <xf numFmtId="173" fontId="31" fillId="22" borderId="0" applyNumberFormat="0" applyBorder="0" applyAlignment="0" applyProtection="0"/>
    <xf numFmtId="173" fontId="31" fillId="23" borderId="0" applyNumberFormat="0" applyBorder="0" applyAlignment="0" applyProtection="0"/>
    <xf numFmtId="173" fontId="31" fillId="24" borderId="0" applyNumberFormat="0" applyBorder="0" applyAlignment="0" applyProtection="0"/>
    <xf numFmtId="173" fontId="31" fillId="25" borderId="0" applyNumberFormat="0" applyBorder="0" applyAlignment="0" applyProtection="0"/>
    <xf numFmtId="173" fontId="31" fillId="26" borderId="0" applyNumberFormat="0" applyBorder="0" applyAlignment="0" applyProtection="0"/>
    <xf numFmtId="173" fontId="31" fillId="27" borderId="0" applyNumberFormat="0" applyBorder="0" applyAlignment="0" applyProtection="0"/>
    <xf numFmtId="173" fontId="31" fillId="28" borderId="0" applyNumberFormat="0" applyBorder="0" applyAlignment="0" applyProtection="0"/>
    <xf numFmtId="173" fontId="31" fillId="23" borderId="0" applyNumberFormat="0" applyBorder="0" applyAlignment="0" applyProtection="0"/>
    <xf numFmtId="173" fontId="31" fillId="26" borderId="0" applyNumberFormat="0" applyBorder="0" applyAlignment="0" applyProtection="0"/>
    <xf numFmtId="173" fontId="31" fillId="29" borderId="0" applyNumberFormat="0" applyBorder="0" applyAlignment="0" applyProtection="0"/>
    <xf numFmtId="173" fontId="34" fillId="30" borderId="0" applyNumberFormat="0" applyBorder="0" applyAlignment="0" applyProtection="0"/>
    <xf numFmtId="173" fontId="34" fillId="27" borderId="0" applyNumberFormat="0" applyBorder="0" applyAlignment="0" applyProtection="0"/>
    <xf numFmtId="173" fontId="34" fillId="28" borderId="0" applyNumberFormat="0" applyBorder="0" applyAlignment="0" applyProtection="0"/>
    <xf numFmtId="173" fontId="34" fillId="31" borderId="0" applyNumberFormat="0" applyBorder="0" applyAlignment="0" applyProtection="0"/>
    <xf numFmtId="173" fontId="34" fillId="32" borderId="0" applyNumberFormat="0" applyBorder="0" applyAlignment="0" applyProtection="0"/>
    <xf numFmtId="173" fontId="34" fillId="33" borderId="0" applyNumberFormat="0" applyBorder="0" applyAlignment="0" applyProtection="0"/>
    <xf numFmtId="173" fontId="34" fillId="34" borderId="0" applyNumberFormat="0" applyBorder="0" applyAlignment="0" applyProtection="0"/>
    <xf numFmtId="173" fontId="31" fillId="35" borderId="0" applyNumberFormat="0" applyBorder="0" applyAlignment="0" applyProtection="0"/>
    <xf numFmtId="173" fontId="31" fillId="35" borderId="0" applyNumberFormat="0" applyBorder="0" applyAlignment="0" applyProtection="0"/>
    <xf numFmtId="173" fontId="34" fillId="36" borderId="0" applyNumberFormat="0" applyBorder="0" applyAlignment="0" applyProtection="0"/>
    <xf numFmtId="173" fontId="34" fillId="37" borderId="0" applyNumberFormat="0" applyBorder="0" applyAlignment="0" applyProtection="0"/>
    <xf numFmtId="173" fontId="31" fillId="38" borderId="0" applyNumberFormat="0" applyBorder="0" applyAlignment="0" applyProtection="0"/>
    <xf numFmtId="173" fontId="31" fillId="39" borderId="0" applyNumberFormat="0" applyBorder="0" applyAlignment="0" applyProtection="0"/>
    <xf numFmtId="173" fontId="34" fillId="40" borderId="0" applyNumberFormat="0" applyBorder="0" applyAlignment="0" applyProtection="0"/>
    <xf numFmtId="173" fontId="34" fillId="40" borderId="0" applyNumberFormat="0" applyBorder="0" applyAlignment="0" applyProtection="0"/>
    <xf numFmtId="173" fontId="31" fillId="38" borderId="0" applyNumberFormat="0" applyBorder="0" applyAlignment="0" applyProtection="0"/>
    <xf numFmtId="173" fontId="31" fillId="41" borderId="0" applyNumberFormat="0" applyBorder="0" applyAlignment="0" applyProtection="0"/>
    <xf numFmtId="173" fontId="34" fillId="39" borderId="0" applyNumberFormat="0" applyBorder="0" applyAlignment="0" applyProtection="0"/>
    <xf numFmtId="173" fontId="34" fillId="34" borderId="0" applyNumberFormat="0" applyBorder="0" applyAlignment="0" applyProtection="0"/>
    <xf numFmtId="173" fontId="31" fillId="35" borderId="0" applyNumberFormat="0" applyBorder="0" applyAlignment="0" applyProtection="0"/>
    <xf numFmtId="173" fontId="31" fillId="39" borderId="0" applyNumberFormat="0" applyBorder="0" applyAlignment="0" applyProtection="0"/>
    <xf numFmtId="173" fontId="34" fillId="39" borderId="0" applyNumberFormat="0" applyBorder="0" applyAlignment="0" applyProtection="0"/>
    <xf numFmtId="173" fontId="34" fillId="42" borderId="0" applyNumberFormat="0" applyBorder="0" applyAlignment="0" applyProtection="0"/>
    <xf numFmtId="173" fontId="31" fillId="43" borderId="0" applyNumberFormat="0" applyBorder="0" applyAlignment="0" applyProtection="0"/>
    <xf numFmtId="173" fontId="31" fillId="35" borderId="0" applyNumberFormat="0" applyBorder="0" applyAlignment="0" applyProtection="0"/>
    <xf numFmtId="173" fontId="34" fillId="36" borderId="0" applyNumberFormat="0" applyBorder="0" applyAlignment="0" applyProtection="0"/>
    <xf numFmtId="173" fontId="34" fillId="44" borderId="0" applyNumberFormat="0" applyBorder="0" applyAlignment="0" applyProtection="0"/>
    <xf numFmtId="173" fontId="31" fillId="38" borderId="0" applyNumberFormat="0" applyBorder="0" applyAlignment="0" applyProtection="0"/>
    <xf numFmtId="173" fontId="31" fillId="45" borderId="0" applyNumberFormat="0" applyBorder="0" applyAlignment="0" applyProtection="0"/>
    <xf numFmtId="173" fontId="34" fillId="45" borderId="0" applyNumberFormat="0" applyBorder="0" applyAlignment="0" applyProtection="0"/>
    <xf numFmtId="173" fontId="35" fillId="46" borderId="0" applyNumberFormat="0" applyBorder="0" applyAlignment="0" applyProtection="0"/>
    <xf numFmtId="173" fontId="36" fillId="47" borderId="74" applyNumberFormat="0" applyAlignment="0" applyProtection="0"/>
    <xf numFmtId="173" fontId="37" fillId="40" borderId="75" applyNumberFormat="0" applyAlignment="0" applyProtection="0"/>
    <xf numFmtId="173" fontId="38" fillId="48" borderId="0" applyNumberFormat="0" applyBorder="0" applyAlignment="0" applyProtection="0"/>
    <xf numFmtId="173" fontId="38" fillId="49" borderId="0" applyNumberFormat="0" applyBorder="0" applyAlignment="0" applyProtection="0"/>
    <xf numFmtId="173" fontId="38" fillId="50" borderId="0" applyNumberFormat="0" applyBorder="0" applyAlignment="0" applyProtection="0"/>
    <xf numFmtId="173" fontId="39" fillId="0" borderId="0" applyNumberFormat="0" applyFill="0" applyBorder="0" applyAlignment="0" applyProtection="0"/>
    <xf numFmtId="173" fontId="40" fillId="41" borderId="0" applyNumberFormat="0" applyBorder="0" applyAlignment="0" applyProtection="0"/>
    <xf numFmtId="173" fontId="41" fillId="0" borderId="76" applyNumberFormat="0" applyFill="0" applyAlignment="0" applyProtection="0"/>
    <xf numFmtId="173" fontId="42" fillId="0" borderId="77" applyNumberFormat="0" applyFill="0" applyAlignment="0" applyProtection="0"/>
    <xf numFmtId="173" fontId="43" fillId="0" borderId="78" applyNumberFormat="0" applyFill="0" applyAlignment="0" applyProtection="0"/>
    <xf numFmtId="173" fontId="43" fillId="0" borderId="0" applyNumberFormat="0" applyFill="0" applyBorder="0" applyAlignment="0" applyProtection="0"/>
    <xf numFmtId="173" fontId="44" fillId="45" borderId="74" applyNumberFormat="0" applyAlignment="0" applyProtection="0"/>
    <xf numFmtId="173" fontId="45" fillId="0" borderId="79" applyNumberFormat="0" applyFill="0" applyAlignment="0" applyProtection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7" fillId="0" borderId="0"/>
    <xf numFmtId="173" fontId="12" fillId="38" borderId="73" applyNumberFormat="0" applyFont="0" applyAlignment="0" applyProtection="0"/>
    <xf numFmtId="173" fontId="46" fillId="47" borderId="80" applyNumberFormat="0" applyAlignment="0" applyProtection="0"/>
    <xf numFmtId="9" fontId="12" fillId="0" borderId="0" applyFont="0" applyFill="0" applyBorder="0" applyAlignment="0" applyProtection="0"/>
    <xf numFmtId="173" fontId="47" fillId="0" borderId="0" applyNumberFormat="0" applyFill="0" applyBorder="0" applyAlignment="0" applyProtection="0"/>
    <xf numFmtId="173" fontId="48" fillId="0" borderId="0" applyNumberFormat="0" applyFill="0" applyBorder="0" applyAlignment="0" applyProtection="0"/>
    <xf numFmtId="173" fontId="49" fillId="0" borderId="0" applyNumberFormat="0" applyFill="0" applyBorder="0" applyAlignment="0" applyProtection="0"/>
    <xf numFmtId="0" fontId="7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5" fillId="0" borderId="0"/>
  </cellStyleXfs>
  <cellXfs count="623">
    <xf numFmtId="0" fontId="0" fillId="0" borderId="0" xfId="0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168" fontId="0" fillId="0" borderId="2" xfId="1" applyNumberFormat="1" applyFont="1" applyBorder="1" applyAlignment="1">
      <alignment horizontal="center" vertical="center"/>
    </xf>
    <xf numFmtId="9" fontId="0" fillId="0" borderId="13" xfId="3" applyFont="1" applyBorder="1" applyAlignment="1">
      <alignment vertical="center"/>
    </xf>
    <xf numFmtId="9" fontId="0" fillId="0" borderId="14" xfId="3" applyFont="1" applyBorder="1" applyAlignment="1">
      <alignment vertical="center"/>
    </xf>
    <xf numFmtId="9" fontId="0" fillId="0" borderId="15" xfId="3" applyFont="1" applyBorder="1" applyAlignment="1">
      <alignment vertical="center"/>
    </xf>
    <xf numFmtId="9" fontId="0" fillId="0" borderId="0" xfId="3" applyFont="1" applyAlignment="1">
      <alignment vertical="center"/>
    </xf>
    <xf numFmtId="3" fontId="13" fillId="0" borderId="0" xfId="0" applyNumberFormat="1" applyFont="1" applyAlignment="1">
      <alignment vertical="center"/>
    </xf>
    <xf numFmtId="166" fontId="0" fillId="0" borderId="0" xfId="1" applyFont="1" applyAlignment="1">
      <alignment vertical="center"/>
    </xf>
    <xf numFmtId="0" fontId="14" fillId="0" borderId="0" xfId="0" applyFont="1" applyBorder="1" applyAlignment="1">
      <alignment vertical="center"/>
    </xf>
    <xf numFmtId="3" fontId="19" fillId="0" borderId="0" xfId="0" applyNumberFormat="1" applyFont="1" applyBorder="1" applyAlignment="1">
      <alignment vertical="center"/>
    </xf>
    <xf numFmtId="0" fontId="14" fillId="0" borderId="0" xfId="0" applyFont="1" applyBorder="1" applyAlignment="1">
      <alignment horizontal="left" vertical="center"/>
    </xf>
    <xf numFmtId="3" fontId="20" fillId="0" borderId="0" xfId="0" applyNumberFormat="1" applyFont="1" applyBorder="1" applyAlignment="1">
      <alignment vertical="center"/>
    </xf>
    <xf numFmtId="0" fontId="0" fillId="0" borderId="33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/>
    </xf>
    <xf numFmtId="169" fontId="0" fillId="0" borderId="21" xfId="3" applyNumberFormat="1" applyFont="1" applyBorder="1" applyAlignment="1">
      <alignment vertical="center"/>
    </xf>
    <xf numFmtId="169" fontId="0" fillId="0" borderId="22" xfId="3" applyNumberFormat="1" applyFont="1" applyBorder="1" applyAlignment="1">
      <alignment vertical="center"/>
    </xf>
    <xf numFmtId="169" fontId="0" fillId="0" borderId="23" xfId="3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169" fontId="0" fillId="0" borderId="0" xfId="0" applyNumberFormat="1"/>
    <xf numFmtId="169" fontId="0" fillId="0" borderId="0" xfId="0" applyNumberFormat="1" applyAlignment="1">
      <alignment horizontal="center"/>
    </xf>
    <xf numFmtId="0" fontId="25" fillId="0" borderId="0" xfId="0" applyFont="1"/>
    <xf numFmtId="0" fontId="27" fillId="0" borderId="0" xfId="0" applyFont="1"/>
    <xf numFmtId="0" fontId="2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5" fillId="3" borderId="7" xfId="0" applyFont="1" applyFill="1" applyBorder="1" applyAlignment="1">
      <alignment horizontal="centerContinuous" vertical="center" wrapText="1"/>
    </xf>
    <xf numFmtId="0" fontId="15" fillId="3" borderId="6" xfId="0" applyFont="1" applyFill="1" applyBorder="1" applyAlignment="1">
      <alignment horizontal="centerContinuous" vertical="center" wrapText="1"/>
    </xf>
    <xf numFmtId="0" fontId="15" fillId="3" borderId="8" xfId="0" applyFont="1" applyFill="1" applyBorder="1" applyAlignment="1">
      <alignment horizontal="centerContinuous" vertical="center" wrapText="1"/>
    </xf>
    <xf numFmtId="0" fontId="15" fillId="3" borderId="9" xfId="0" applyFont="1" applyFill="1" applyBorder="1" applyAlignment="1">
      <alignment horizontal="centerContinuous" vertical="center" wrapText="1"/>
    </xf>
    <xf numFmtId="0" fontId="13" fillId="19" borderId="35" xfId="0" applyFont="1" applyFill="1" applyBorder="1" applyAlignment="1">
      <alignment horizontal="center" vertical="center"/>
    </xf>
    <xf numFmtId="169" fontId="13" fillId="19" borderId="20" xfId="3" applyNumberFormat="1" applyFont="1" applyFill="1" applyBorder="1" applyAlignment="1">
      <alignment horizontal="center" vertical="center"/>
    </xf>
    <xf numFmtId="169" fontId="13" fillId="19" borderId="17" xfId="3" applyNumberFormat="1" applyFont="1" applyFill="1" applyBorder="1" applyAlignment="1">
      <alignment horizontal="center" vertical="center"/>
    </xf>
    <xf numFmtId="166" fontId="23" fillId="18" borderId="30" xfId="1" applyFont="1" applyFill="1" applyBorder="1" applyAlignment="1">
      <alignment vertical="center"/>
    </xf>
    <xf numFmtId="169" fontId="0" fillId="0" borderId="0" xfId="0" applyNumberFormat="1" applyAlignment="1">
      <alignment vertical="center"/>
    </xf>
    <xf numFmtId="169" fontId="13" fillId="19" borderId="17" xfId="3" applyNumberFormat="1" applyFont="1" applyFill="1" applyBorder="1" applyAlignment="1">
      <alignment vertical="center"/>
    </xf>
    <xf numFmtId="174" fontId="0" fillId="0" borderId="0" xfId="1" applyNumberFormat="1" applyFont="1" applyAlignment="1">
      <alignment vertical="center"/>
    </xf>
    <xf numFmtId="167" fontId="0" fillId="0" borderId="0" xfId="8" applyFont="1"/>
    <xf numFmtId="171" fontId="27" fillId="0" borderId="0" xfId="0" applyNumberFormat="1" applyFont="1"/>
    <xf numFmtId="171" fontId="25" fillId="0" borderId="0" xfId="0" applyNumberFormat="1" applyFont="1" applyAlignment="1">
      <alignment vertical="center"/>
    </xf>
    <xf numFmtId="0" fontId="25" fillId="0" borderId="0" xfId="0" applyFont="1" applyFill="1"/>
    <xf numFmtId="0" fontId="17" fillId="0" borderId="0" xfId="0" applyFont="1" applyFill="1" applyAlignment="1">
      <alignment vertical="center"/>
    </xf>
    <xf numFmtId="169" fontId="13" fillId="0" borderId="0" xfId="0" applyNumberFormat="1" applyFont="1" applyAlignment="1">
      <alignment vertical="center"/>
    </xf>
    <xf numFmtId="168" fontId="0" fillId="0" borderId="3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0" fontId="0" fillId="0" borderId="0" xfId="3" applyNumberFormat="1" applyFont="1" applyAlignment="1">
      <alignment vertical="center"/>
    </xf>
    <xf numFmtId="0" fontId="13" fillId="19" borderId="53" xfId="0" applyFont="1" applyFill="1" applyBorder="1" applyAlignment="1">
      <alignment horizontal="center" vertical="center"/>
    </xf>
    <xf numFmtId="171" fontId="32" fillId="3" borderId="30" xfId="198" applyNumberFormat="1" applyFont="1" applyFill="1" applyBorder="1" applyAlignment="1">
      <alignment horizontal="center" vertical="center" wrapText="1"/>
    </xf>
    <xf numFmtId="171" fontId="26" fillId="3" borderId="86" xfId="198" applyNumberFormat="1" applyFont="1" applyFill="1" applyBorder="1" applyAlignment="1">
      <alignment vertical="center"/>
    </xf>
    <xf numFmtId="171" fontId="32" fillId="3" borderId="86" xfId="198" applyNumberFormat="1" applyFont="1" applyFill="1" applyBorder="1" applyAlignment="1">
      <alignment vertical="center"/>
    </xf>
    <xf numFmtId="10" fontId="0" fillId="0" borderId="0" xfId="0" applyNumberFormat="1" applyAlignment="1">
      <alignment vertical="center"/>
    </xf>
    <xf numFmtId="10" fontId="0" fillId="0" borderId="13" xfId="3" applyNumberFormat="1" applyFont="1" applyBorder="1" applyAlignment="1">
      <alignment horizontal="right" vertical="center" indent="2"/>
    </xf>
    <xf numFmtId="10" fontId="0" fillId="0" borderId="14" xfId="3" applyNumberFormat="1" applyFont="1" applyBorder="1" applyAlignment="1">
      <alignment horizontal="right" vertical="center" indent="2"/>
    </xf>
    <xf numFmtId="10" fontId="0" fillId="0" borderId="15" xfId="3" applyNumberFormat="1" applyFont="1" applyBorder="1" applyAlignment="1">
      <alignment horizontal="right" vertical="center" indent="2"/>
    </xf>
    <xf numFmtId="10" fontId="13" fillId="19" borderId="17" xfId="3" applyNumberFormat="1" applyFont="1" applyFill="1" applyBorder="1" applyAlignment="1">
      <alignment horizontal="right" vertical="center" indent="2"/>
    </xf>
    <xf numFmtId="0" fontId="13" fillId="19" borderId="4" xfId="0" applyFont="1" applyFill="1" applyBorder="1" applyAlignment="1">
      <alignment horizontal="left" vertical="center" indent="1"/>
    </xf>
    <xf numFmtId="0" fontId="12" fillId="0" borderId="3" xfId="0" applyFont="1" applyBorder="1" applyAlignment="1">
      <alignment horizontal="center" vertical="center"/>
    </xf>
    <xf numFmtId="0" fontId="50" fillId="0" borderId="0" xfId="0" applyFont="1"/>
    <xf numFmtId="0" fontId="12" fillId="0" borderId="1" xfId="0" applyFont="1" applyBorder="1" applyAlignment="1">
      <alignment horizontal="center" vertical="center"/>
    </xf>
    <xf numFmtId="0" fontId="22" fillId="51" borderId="95" xfId="0" applyFont="1" applyFill="1" applyBorder="1" applyAlignment="1">
      <alignment horizontal="center" vertical="center" wrapText="1"/>
    </xf>
    <xf numFmtId="0" fontId="51" fillId="51" borderId="96" xfId="0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4" fillId="0" borderId="52" xfId="0" applyFont="1" applyBorder="1" applyAlignment="1">
      <alignment horizontal="center" vertical="center"/>
    </xf>
    <xf numFmtId="0" fontId="54" fillId="0" borderId="71" xfId="0" applyFont="1" applyBorder="1" applyAlignment="1">
      <alignment horizontal="center" vertical="center"/>
    </xf>
    <xf numFmtId="0" fontId="54" fillId="0" borderId="97" xfId="0" applyFont="1" applyBorder="1" applyAlignment="1">
      <alignment horizontal="center" vertical="center"/>
    </xf>
    <xf numFmtId="0" fontId="54" fillId="0" borderId="72" xfId="0" applyFont="1" applyBorder="1" applyAlignment="1">
      <alignment horizontal="center" vertical="center"/>
    </xf>
    <xf numFmtId="0" fontId="22" fillId="51" borderId="96" xfId="0" applyFont="1" applyFill="1" applyBorder="1" applyAlignment="1">
      <alignment horizontal="center" vertical="center"/>
    </xf>
    <xf numFmtId="4" fontId="5" fillId="0" borderId="21" xfId="0" applyNumberFormat="1" applyFont="1" applyBorder="1" applyAlignment="1">
      <alignment horizontal="center" vertical="center"/>
    </xf>
    <xf numFmtId="4" fontId="5" fillId="0" borderId="91" xfId="0" applyNumberFormat="1" applyFont="1" applyBorder="1" applyAlignment="1">
      <alignment horizontal="center" vertical="center"/>
    </xf>
    <xf numFmtId="4" fontId="5" fillId="0" borderId="98" xfId="0" applyNumberFormat="1" applyFont="1" applyBorder="1" applyAlignment="1">
      <alignment horizontal="center" vertical="center"/>
    </xf>
    <xf numFmtId="4" fontId="5" fillId="0" borderId="93" xfId="0" applyNumberFormat="1" applyFont="1" applyBorder="1" applyAlignment="1">
      <alignment horizontal="center" vertical="center"/>
    </xf>
    <xf numFmtId="0" fontId="22" fillId="51" borderId="99" xfId="0" applyFont="1" applyFill="1" applyBorder="1" applyAlignment="1">
      <alignment horizontal="center" vertical="center"/>
    </xf>
    <xf numFmtId="170" fontId="5" fillId="0" borderId="21" xfId="0" applyNumberFormat="1" applyFont="1" applyBorder="1" applyAlignment="1">
      <alignment horizontal="center" vertical="center"/>
    </xf>
    <xf numFmtId="170" fontId="5" fillId="0" borderId="91" xfId="0" applyNumberFormat="1" applyFont="1" applyBorder="1" applyAlignment="1">
      <alignment horizontal="center" vertical="center"/>
    </xf>
    <xf numFmtId="170" fontId="5" fillId="0" borderId="98" xfId="0" applyNumberFormat="1" applyFont="1" applyBorder="1" applyAlignment="1">
      <alignment horizontal="center" vertical="center"/>
    </xf>
    <xf numFmtId="170" fontId="5" fillId="0" borderId="93" xfId="0" applyNumberFormat="1" applyFont="1" applyBorder="1" applyAlignment="1">
      <alignment horizontal="center" vertical="center"/>
    </xf>
    <xf numFmtId="175" fontId="0" fillId="0" borderId="0" xfId="8" applyNumberFormat="1" applyFont="1"/>
    <xf numFmtId="170" fontId="5" fillId="0" borderId="21" xfId="0" applyNumberFormat="1" applyFont="1" applyFill="1" applyBorder="1" applyAlignment="1">
      <alignment horizontal="center" vertical="center"/>
    </xf>
    <xf numFmtId="170" fontId="5" fillId="0" borderId="91" xfId="0" applyNumberFormat="1" applyFont="1" applyFill="1" applyBorder="1" applyAlignment="1">
      <alignment horizontal="center" vertical="center"/>
    </xf>
    <xf numFmtId="170" fontId="5" fillId="0" borderId="98" xfId="0" applyNumberFormat="1" applyFont="1" applyFill="1" applyBorder="1" applyAlignment="1">
      <alignment horizontal="center" vertical="center"/>
    </xf>
    <xf numFmtId="170" fontId="5" fillId="0" borderId="93" xfId="0" applyNumberFormat="1" applyFont="1" applyFill="1" applyBorder="1" applyAlignment="1">
      <alignment horizontal="center" vertical="center"/>
    </xf>
    <xf numFmtId="176" fontId="0" fillId="0" borderId="0" xfId="0" applyNumberFormat="1"/>
    <xf numFmtId="170" fontId="5" fillId="0" borderId="13" xfId="0" applyNumberFormat="1" applyFont="1" applyFill="1" applyBorder="1" applyAlignment="1">
      <alignment horizontal="center" vertical="center"/>
    </xf>
    <xf numFmtId="170" fontId="5" fillId="0" borderId="92" xfId="0" applyNumberFormat="1" applyFont="1" applyFill="1" applyBorder="1" applyAlignment="1">
      <alignment horizontal="center" vertical="center"/>
    </xf>
    <xf numFmtId="170" fontId="5" fillId="0" borderId="70" xfId="0" applyNumberFormat="1" applyFont="1" applyFill="1" applyBorder="1" applyAlignment="1">
      <alignment horizontal="center" vertical="center"/>
    </xf>
    <xf numFmtId="170" fontId="5" fillId="0" borderId="83" xfId="0" applyNumberFormat="1" applyFont="1" applyFill="1" applyBorder="1" applyAlignment="1">
      <alignment horizontal="center" vertical="center"/>
    </xf>
    <xf numFmtId="177" fontId="0" fillId="0" borderId="0" xfId="8" applyNumberFormat="1" applyFont="1"/>
    <xf numFmtId="0" fontId="4" fillId="0" borderId="0" xfId="0" applyFont="1"/>
    <xf numFmtId="0" fontId="4" fillId="0" borderId="0" xfId="0" applyFont="1" applyAlignment="1">
      <alignment vertical="center"/>
    </xf>
    <xf numFmtId="172" fontId="23" fillId="0" borderId="82" xfId="8" applyNumberFormat="1" applyFont="1" applyBorder="1" applyAlignment="1">
      <alignment vertical="center"/>
    </xf>
    <xf numFmtId="172" fontId="23" fillId="0" borderId="104" xfId="8" applyNumberFormat="1" applyFont="1" applyBorder="1" applyAlignment="1">
      <alignment vertical="center"/>
    </xf>
    <xf numFmtId="172" fontId="23" fillId="0" borderId="32" xfId="8" applyNumberFormat="1" applyFont="1" applyBorder="1" applyAlignment="1">
      <alignment vertical="center"/>
    </xf>
    <xf numFmtId="172" fontId="23" fillId="0" borderId="37" xfId="8" applyNumberFormat="1" applyFont="1" applyBorder="1" applyAlignment="1">
      <alignment vertical="center"/>
    </xf>
    <xf numFmtId="169" fontId="23" fillId="0" borderId="105" xfId="0" applyNumberFormat="1" applyFont="1" applyBorder="1" applyAlignment="1">
      <alignment horizontal="center" vertical="center"/>
    </xf>
    <xf numFmtId="10" fontId="23" fillId="0" borderId="106" xfId="3" applyNumberFormat="1" applyFont="1" applyBorder="1" applyAlignment="1">
      <alignment horizontal="center" vertical="center"/>
    </xf>
    <xf numFmtId="10" fontId="23" fillId="0" borderId="38" xfId="3" applyNumberFormat="1" applyFont="1" applyBorder="1" applyAlignment="1">
      <alignment horizontal="center" vertical="center"/>
    </xf>
    <xf numFmtId="10" fontId="23" fillId="0" borderId="29" xfId="3" applyNumberFormat="1" applyFont="1" applyBorder="1" applyAlignment="1">
      <alignment horizontal="center" vertical="center"/>
    </xf>
    <xf numFmtId="0" fontId="22" fillId="52" borderId="16" xfId="0" applyFont="1" applyFill="1" applyBorder="1" applyAlignment="1">
      <alignment horizontal="center" vertical="center" wrapText="1"/>
    </xf>
    <xf numFmtId="0" fontId="22" fillId="52" borderId="51" xfId="0" applyFont="1" applyFill="1" applyBorder="1" applyAlignment="1">
      <alignment horizontal="center" vertical="center" wrapText="1"/>
    </xf>
    <xf numFmtId="0" fontId="22" fillId="53" borderId="100" xfId="0" applyFont="1" applyFill="1" applyBorder="1" applyAlignment="1">
      <alignment horizontal="centerContinuous" vertical="center" wrapText="1"/>
    </xf>
    <xf numFmtId="0" fontId="22" fillId="53" borderId="54" xfId="0" applyFont="1" applyFill="1" applyBorder="1" applyAlignment="1">
      <alignment horizontal="centerContinuous" vertical="center" wrapText="1"/>
    </xf>
    <xf numFmtId="0" fontId="22" fillId="53" borderId="55" xfId="0" applyFont="1" applyFill="1" applyBorder="1" applyAlignment="1">
      <alignment horizontal="centerContinuous" vertical="center" wrapText="1"/>
    </xf>
    <xf numFmtId="0" fontId="22" fillId="53" borderId="101" xfId="0" applyFont="1" applyFill="1" applyBorder="1" applyAlignment="1">
      <alignment horizontal="center" vertical="center" wrapText="1"/>
    </xf>
    <xf numFmtId="0" fontId="22" fillId="53" borderId="102" xfId="0" applyFont="1" applyFill="1" applyBorder="1" applyAlignment="1">
      <alignment horizontal="center" vertical="center" wrapText="1"/>
    </xf>
    <xf numFmtId="0" fontId="22" fillId="53" borderId="103" xfId="0" applyFont="1" applyFill="1" applyBorder="1" applyAlignment="1">
      <alignment horizontal="center" vertical="center" wrapText="1"/>
    </xf>
    <xf numFmtId="0" fontId="23" fillId="0" borderId="0" xfId="0" applyFont="1"/>
    <xf numFmtId="9" fontId="23" fillId="0" borderId="26" xfId="0" applyNumberFormat="1" applyFont="1" applyBorder="1" applyAlignment="1">
      <alignment horizontal="right" vertical="center" indent="1"/>
    </xf>
    <xf numFmtId="9" fontId="23" fillId="0" borderId="85" xfId="3" applyNumberFormat="1" applyFont="1" applyBorder="1" applyAlignment="1">
      <alignment horizontal="right" vertical="center" indent="1"/>
    </xf>
    <xf numFmtId="9" fontId="23" fillId="0" borderId="28" xfId="3" applyNumberFormat="1" applyFont="1" applyBorder="1" applyAlignment="1">
      <alignment horizontal="right" vertical="center" indent="1"/>
    </xf>
    <xf numFmtId="169" fontId="23" fillId="0" borderId="81" xfId="3" applyNumberFormat="1" applyFont="1" applyBorder="1" applyAlignment="1">
      <alignment horizontal="right" vertical="center" indent="1"/>
    </xf>
    <xf numFmtId="172" fontId="23" fillId="0" borderId="27" xfId="8" applyNumberFormat="1" applyFont="1" applyBorder="1" applyAlignment="1">
      <alignment vertical="center"/>
    </xf>
    <xf numFmtId="172" fontId="23" fillId="0" borderId="38" xfId="8" applyNumberFormat="1" applyFont="1" applyBorder="1" applyAlignment="1">
      <alignment vertical="center"/>
    </xf>
    <xf numFmtId="172" fontId="23" fillId="0" borderId="29" xfId="8" applyNumberFormat="1" applyFont="1" applyBorder="1" applyAlignment="1">
      <alignment vertical="center"/>
    </xf>
    <xf numFmtId="172" fontId="23" fillId="0" borderId="105" xfId="8" applyNumberFormat="1" applyFont="1" applyBorder="1" applyAlignment="1">
      <alignment vertical="center"/>
    </xf>
    <xf numFmtId="172" fontId="23" fillId="0" borderId="0" xfId="8" applyNumberFormat="1" applyFont="1" applyBorder="1" applyAlignment="1">
      <alignment vertical="center"/>
    </xf>
    <xf numFmtId="0" fontId="15" fillId="2" borderId="60" xfId="212" applyFont="1" applyFill="1" applyBorder="1" applyAlignment="1">
      <alignment horizontal="centerContinuous" vertical="center" wrapText="1"/>
    </xf>
    <xf numFmtId="0" fontId="15" fillId="2" borderId="39" xfId="212" applyFont="1" applyFill="1" applyBorder="1" applyAlignment="1">
      <alignment horizontal="centerContinuous" vertical="center" wrapText="1"/>
    </xf>
    <xf numFmtId="0" fontId="15" fillId="2" borderId="31" xfId="212" applyFont="1" applyFill="1" applyBorder="1" applyAlignment="1">
      <alignment horizontal="centerContinuous" vertical="center" wrapText="1"/>
    </xf>
    <xf numFmtId="0" fontId="32" fillId="51" borderId="6" xfId="0" applyFont="1" applyFill="1" applyBorder="1" applyAlignment="1">
      <alignment horizontal="centerContinuous" vertical="center" wrapText="1"/>
    </xf>
    <xf numFmtId="0" fontId="32" fillId="51" borderId="7" xfId="0" applyFont="1" applyFill="1" applyBorder="1" applyAlignment="1">
      <alignment horizontal="centerContinuous" vertical="center" wrapText="1"/>
    </xf>
    <xf numFmtId="0" fontId="32" fillId="51" borderId="5" xfId="0" applyFont="1" applyFill="1" applyBorder="1" applyAlignment="1">
      <alignment horizontal="centerContinuous" vertical="center" wrapText="1"/>
    </xf>
    <xf numFmtId="0" fontId="32" fillId="51" borderId="8" xfId="0" applyFont="1" applyFill="1" applyBorder="1" applyAlignment="1">
      <alignment horizontal="centerContinuous" vertical="center" wrapText="1"/>
    </xf>
    <xf numFmtId="0" fontId="32" fillId="51" borderId="9" xfId="0" applyFont="1" applyFill="1" applyBorder="1" applyAlignment="1">
      <alignment horizontal="centerContinuous" vertical="center" wrapText="1"/>
    </xf>
    <xf numFmtId="0" fontId="32" fillId="51" borderId="40" xfId="0" applyFont="1" applyFill="1" applyBorder="1" applyAlignment="1">
      <alignment horizontal="centerContinuous" vertical="center" wrapText="1"/>
    </xf>
    <xf numFmtId="169" fontId="4" fillId="0" borderId="18" xfId="3" applyNumberFormat="1" applyFont="1" applyFill="1" applyBorder="1" applyAlignment="1">
      <alignment vertical="center"/>
    </xf>
    <xf numFmtId="169" fontId="4" fillId="0" borderId="14" xfId="3" applyNumberFormat="1" applyFont="1" applyFill="1" applyBorder="1" applyAlignment="1">
      <alignment vertical="center"/>
    </xf>
    <xf numFmtId="172" fontId="4" fillId="0" borderId="33" xfId="8" applyNumberFormat="1" applyFont="1" applyFill="1" applyBorder="1" applyAlignment="1">
      <alignment horizontal="center" vertical="center"/>
    </xf>
    <xf numFmtId="172" fontId="4" fillId="0" borderId="18" xfId="8" applyNumberFormat="1" applyFont="1" applyFill="1" applyBorder="1" applyAlignment="1">
      <alignment horizontal="center" vertical="center"/>
    </xf>
    <xf numFmtId="172" fontId="4" fillId="0" borderId="14" xfId="8" applyNumberFormat="1" applyFont="1" applyFill="1" applyBorder="1" applyAlignment="1">
      <alignment horizontal="center" vertical="center"/>
    </xf>
    <xf numFmtId="169" fontId="4" fillId="0" borderId="19" xfId="3" applyNumberFormat="1" applyFont="1" applyFill="1" applyBorder="1" applyAlignment="1">
      <alignment vertical="center"/>
    </xf>
    <xf numFmtId="169" fontId="4" fillId="0" borderId="15" xfId="3" applyNumberFormat="1" applyFont="1" applyFill="1" applyBorder="1" applyAlignment="1">
      <alignment vertical="center"/>
    </xf>
    <xf numFmtId="172" fontId="4" fillId="0" borderId="34" xfId="8" applyNumberFormat="1" applyFont="1" applyFill="1" applyBorder="1" applyAlignment="1">
      <alignment horizontal="center" vertical="center"/>
    </xf>
    <xf numFmtId="172" fontId="4" fillId="0" borderId="19" xfId="8" applyNumberFormat="1" applyFont="1" applyFill="1" applyBorder="1" applyAlignment="1">
      <alignment horizontal="center" vertical="center"/>
    </xf>
    <xf numFmtId="172" fontId="4" fillId="0" borderId="15" xfId="8" applyNumberFormat="1" applyFont="1" applyFill="1" applyBorder="1" applyAlignment="1">
      <alignment horizontal="center" vertical="center"/>
    </xf>
    <xf numFmtId="169" fontId="4" fillId="0" borderId="0" xfId="3" applyNumberFormat="1" applyFont="1"/>
    <xf numFmtId="172" fontId="4" fillId="0" borderId="0" xfId="8" applyNumberFormat="1" applyFont="1" applyAlignment="1">
      <alignment horizontal="center"/>
    </xf>
    <xf numFmtId="169" fontId="13" fillId="19" borderId="20" xfId="3" applyNumberFormat="1" applyFont="1" applyFill="1" applyBorder="1" applyAlignment="1">
      <alignment vertical="center"/>
    </xf>
    <xf numFmtId="172" fontId="13" fillId="19" borderId="35" xfId="8" applyNumberFormat="1" applyFont="1" applyFill="1" applyBorder="1" applyAlignment="1">
      <alignment horizontal="center" vertical="center"/>
    </xf>
    <xf numFmtId="172" fontId="13" fillId="19" borderId="20" xfId="8" applyNumberFormat="1" applyFont="1" applyFill="1" applyBorder="1" applyAlignment="1">
      <alignment horizontal="center" vertical="center"/>
    </xf>
    <xf numFmtId="172" fontId="13" fillId="19" borderId="17" xfId="8" applyNumberFormat="1" applyFont="1" applyFill="1" applyBorder="1" applyAlignment="1">
      <alignment horizontal="center" vertical="center"/>
    </xf>
    <xf numFmtId="0" fontId="22" fillId="52" borderId="68" xfId="0" applyFont="1" applyFill="1" applyBorder="1" applyAlignment="1">
      <alignment horizontal="center" vertical="center" wrapText="1"/>
    </xf>
    <xf numFmtId="0" fontId="22" fillId="53" borderId="107" xfId="0" applyFont="1" applyFill="1" applyBorder="1" applyAlignment="1">
      <alignment horizontal="center" vertical="center" wrapText="1"/>
    </xf>
    <xf numFmtId="0" fontId="22" fillId="53" borderId="90" xfId="0" applyFont="1" applyFill="1" applyBorder="1" applyAlignment="1">
      <alignment horizontal="center" vertical="center" wrapText="1"/>
    </xf>
    <xf numFmtId="0" fontId="22" fillId="53" borderId="108" xfId="0" applyFont="1" applyFill="1" applyBorder="1" applyAlignment="1">
      <alignment horizontal="center" vertical="center" wrapText="1"/>
    </xf>
    <xf numFmtId="0" fontId="27" fillId="0" borderId="68" xfId="0" applyFont="1" applyBorder="1" applyAlignment="1">
      <alignment vertical="center"/>
    </xf>
    <xf numFmtId="172" fontId="4" fillId="0" borderId="81" xfId="0" applyNumberFormat="1" applyFont="1" applyBorder="1" applyAlignment="1">
      <alignment vertical="center"/>
    </xf>
    <xf numFmtId="169" fontId="4" fillId="0" borderId="11" xfId="3" applyNumberFormat="1" applyFont="1" applyFill="1" applyBorder="1" applyAlignment="1">
      <alignment vertical="center"/>
    </xf>
    <xf numFmtId="169" fontId="4" fillId="0" borderId="12" xfId="3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indent="1"/>
    </xf>
    <xf numFmtId="0" fontId="4" fillId="0" borderId="2" xfId="0" applyFont="1" applyFill="1" applyBorder="1" applyAlignment="1">
      <alignment horizontal="left" vertical="center" indent="1"/>
    </xf>
    <xf numFmtId="0" fontId="4" fillId="0" borderId="3" xfId="0" applyFont="1" applyFill="1" applyBorder="1" applyAlignment="1">
      <alignment horizontal="left" vertical="center" indent="1"/>
    </xf>
    <xf numFmtId="0" fontId="32" fillId="51" borderId="112" xfId="0" applyFont="1" applyFill="1" applyBorder="1" applyAlignment="1">
      <alignment horizontal="centerContinuous" vertical="center" wrapText="1"/>
    </xf>
    <xf numFmtId="0" fontId="32" fillId="51" borderId="113" xfId="0" applyFont="1" applyFill="1" applyBorder="1" applyAlignment="1">
      <alignment horizontal="centerContinuous" vertical="center" wrapText="1"/>
    </xf>
    <xf numFmtId="169" fontId="13" fillId="19" borderId="10" xfId="3" applyNumberFormat="1" applyFont="1" applyFill="1" applyBorder="1" applyAlignment="1">
      <alignment vertical="center"/>
    </xf>
    <xf numFmtId="4" fontId="4" fillId="0" borderId="1" xfId="0" applyNumberFormat="1" applyFont="1" applyBorder="1" applyAlignment="1">
      <alignment horizontal="center" vertical="center"/>
    </xf>
    <xf numFmtId="172" fontId="22" fillId="51" borderId="66" xfId="8" applyNumberFormat="1" applyFont="1" applyFill="1" applyBorder="1" applyAlignment="1">
      <alignment horizontal="center" vertical="center"/>
    </xf>
    <xf numFmtId="172" fontId="22" fillId="51" borderId="96" xfId="8" applyNumberFormat="1" applyFont="1" applyFill="1" applyBorder="1" applyAlignment="1">
      <alignment horizontal="center" vertical="center"/>
    </xf>
    <xf numFmtId="172" fontId="22" fillId="51" borderId="99" xfId="8" applyNumberFormat="1" applyFont="1" applyFill="1" applyBorder="1" applyAlignment="1">
      <alignment horizontal="center" vertical="center"/>
    </xf>
    <xf numFmtId="172" fontId="4" fillId="0" borderId="1" xfId="8" applyNumberFormat="1" applyFont="1" applyBorder="1" applyAlignment="1">
      <alignment horizontal="center" vertical="center"/>
    </xf>
    <xf numFmtId="172" fontId="4" fillId="0" borderId="21" xfId="8" applyNumberFormat="1" applyFont="1" applyBorder="1" applyAlignment="1">
      <alignment horizontal="center" vertical="center"/>
    </xf>
    <xf numFmtId="172" fontId="4" fillId="0" borderId="13" xfId="8" applyNumberFormat="1" applyFont="1" applyBorder="1" applyAlignment="1">
      <alignment horizontal="center" vertical="center"/>
    </xf>
    <xf numFmtId="172" fontId="4" fillId="0" borderId="58" xfId="8" applyNumberFormat="1" applyFont="1" applyBorder="1" applyAlignment="1">
      <alignment horizontal="center" vertical="center"/>
    </xf>
    <xf numFmtId="172" fontId="4" fillId="0" borderId="91" xfId="8" applyNumberFormat="1" applyFont="1" applyBorder="1" applyAlignment="1">
      <alignment horizontal="center" vertical="center"/>
    </xf>
    <xf numFmtId="172" fontId="4" fillId="0" borderId="92" xfId="8" applyNumberFormat="1" applyFont="1" applyBorder="1" applyAlignment="1">
      <alignment horizontal="center" vertical="center"/>
    </xf>
    <xf numFmtId="172" fontId="4" fillId="0" borderId="69" xfId="8" applyNumberFormat="1" applyFont="1" applyBorder="1" applyAlignment="1">
      <alignment horizontal="center" vertical="center"/>
    </xf>
    <xf numFmtId="172" fontId="4" fillId="0" borderId="98" xfId="8" applyNumberFormat="1" applyFont="1" applyBorder="1" applyAlignment="1">
      <alignment horizontal="center" vertical="center"/>
    </xf>
    <xf numFmtId="172" fontId="4" fillId="0" borderId="70" xfId="8" applyNumberFormat="1" applyFont="1" applyBorder="1" applyAlignment="1">
      <alignment horizontal="center" vertical="center"/>
    </xf>
    <xf numFmtId="172" fontId="4" fillId="0" borderId="59" xfId="8" applyNumberFormat="1" applyFont="1" applyBorder="1" applyAlignment="1">
      <alignment horizontal="center" vertical="center"/>
    </xf>
    <xf numFmtId="172" fontId="4" fillId="0" borderId="93" xfId="8" applyNumberFormat="1" applyFont="1" applyBorder="1" applyAlignment="1">
      <alignment horizontal="center" vertical="center"/>
    </xf>
    <xf numFmtId="172" fontId="4" fillId="0" borderId="83" xfId="8" applyNumberFormat="1" applyFont="1" applyBorder="1" applyAlignment="1">
      <alignment horizontal="center" vertical="center"/>
    </xf>
    <xf numFmtId="172" fontId="22" fillId="51" borderId="54" xfId="8" applyNumberFormat="1" applyFont="1" applyFill="1" applyBorder="1" applyAlignment="1">
      <alignment horizontal="centerContinuous" vertical="center" wrapText="1"/>
    </xf>
    <xf numFmtId="172" fontId="22" fillId="51" borderId="55" xfId="8" applyNumberFormat="1" applyFont="1" applyFill="1" applyBorder="1" applyAlignment="1">
      <alignment horizontal="centerContinuous" vertical="center" wrapText="1"/>
    </xf>
    <xf numFmtId="172" fontId="22" fillId="51" borderId="115" xfId="8" applyNumberFormat="1" applyFont="1" applyFill="1" applyBorder="1" applyAlignment="1">
      <alignment horizontal="center" vertical="center"/>
    </xf>
    <xf numFmtId="172" fontId="22" fillId="51" borderId="116" xfId="8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72" fontId="4" fillId="0" borderId="0" xfId="8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2" fontId="4" fillId="0" borderId="21" xfId="8" applyNumberFormat="1" applyFont="1" applyBorder="1" applyAlignment="1">
      <alignment vertical="center"/>
    </xf>
    <xf numFmtId="172" fontId="4" fillId="0" borderId="13" xfId="8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172" fontId="4" fillId="0" borderId="22" xfId="8" applyNumberFormat="1" applyFont="1" applyBorder="1" applyAlignment="1">
      <alignment vertical="center"/>
    </xf>
    <xf numFmtId="172" fontId="4" fillId="0" borderId="14" xfId="8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172" fontId="4" fillId="0" borderId="23" xfId="8" applyNumberFormat="1" applyFont="1" applyBorder="1" applyAlignment="1">
      <alignment vertical="center"/>
    </xf>
    <xf numFmtId="172" fontId="4" fillId="0" borderId="15" xfId="8" applyNumberFormat="1" applyFont="1" applyBorder="1" applyAlignment="1">
      <alignment vertical="center"/>
    </xf>
    <xf numFmtId="0" fontId="22" fillId="2" borderId="35" xfId="0" applyFont="1" applyFill="1" applyBorder="1" applyAlignment="1">
      <alignment horizontal="centerContinuous" vertical="center"/>
    </xf>
    <xf numFmtId="0" fontId="22" fillId="2" borderId="10" xfId="0" applyFont="1" applyFill="1" applyBorder="1" applyAlignment="1">
      <alignment horizontal="centerContinuous" vertical="center"/>
    </xf>
    <xf numFmtId="0" fontId="22" fillId="2" borderId="36" xfId="0" applyFont="1" applyFill="1" applyBorder="1" applyAlignment="1">
      <alignment horizontal="centerContinuous" vertical="center"/>
    </xf>
    <xf numFmtId="172" fontId="22" fillId="51" borderId="56" xfId="8" applyNumberFormat="1" applyFont="1" applyFill="1" applyBorder="1" applyAlignment="1">
      <alignment horizontal="centerContinuous" vertical="center" wrapText="1"/>
    </xf>
    <xf numFmtId="172" fontId="22" fillId="51" borderId="114" xfId="8" applyNumberFormat="1" applyFont="1" applyFill="1" applyBorder="1" applyAlignment="1">
      <alignment horizontal="center" vertical="center"/>
    </xf>
    <xf numFmtId="172" fontId="4" fillId="0" borderId="1" xfId="8" applyNumberFormat="1" applyFont="1" applyBorder="1" applyAlignment="1">
      <alignment vertical="center"/>
    </xf>
    <xf numFmtId="172" fontId="4" fillId="0" borderId="2" xfId="8" applyNumberFormat="1" applyFont="1" applyBorder="1" applyAlignment="1">
      <alignment vertical="center"/>
    </xf>
    <xf numFmtId="172" fontId="4" fillId="0" borderId="3" xfId="8" applyNumberFormat="1" applyFont="1" applyBorder="1" applyAlignment="1">
      <alignment vertical="center"/>
    </xf>
    <xf numFmtId="0" fontId="12" fillId="0" borderId="21" xfId="0" applyFont="1" applyBorder="1" applyAlignment="1">
      <alignment horizontal="left" vertical="center" indent="1"/>
    </xf>
    <xf numFmtId="0" fontId="12" fillId="0" borderId="22" xfId="0" applyFont="1" applyBorder="1" applyAlignment="1">
      <alignment horizontal="left" vertical="center" indent="1"/>
    </xf>
    <xf numFmtId="0" fontId="12" fillId="0" borderId="23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/>
    </xf>
    <xf numFmtId="169" fontId="12" fillId="0" borderId="0" xfId="0" applyNumberFormat="1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171" fontId="25" fillId="0" borderId="0" xfId="198" applyNumberFormat="1" applyFont="1" applyFill="1" applyBorder="1" applyAlignment="1">
      <alignment horizontal="right" vertical="center" indent="1"/>
    </xf>
    <xf numFmtId="0" fontId="3" fillId="0" borderId="0" xfId="0" applyFont="1" applyFill="1" applyBorder="1" applyAlignment="1">
      <alignment horizontal="center" vertical="center"/>
    </xf>
    <xf numFmtId="3" fontId="0" fillId="0" borderId="0" xfId="0" applyNumberFormat="1"/>
    <xf numFmtId="179" fontId="0" fillId="0" borderId="0" xfId="0" applyNumberFormat="1"/>
    <xf numFmtId="180" fontId="0" fillId="0" borderId="21" xfId="8" applyNumberFormat="1" applyFont="1" applyBorder="1"/>
    <xf numFmtId="180" fontId="0" fillId="0" borderId="22" xfId="8" applyNumberFormat="1" applyFont="1" applyBorder="1"/>
    <xf numFmtId="180" fontId="0" fillId="0" borderId="1" xfId="8" applyNumberFormat="1" applyFont="1" applyBorder="1"/>
    <xf numFmtId="180" fontId="0" fillId="0" borderId="13" xfId="8" applyNumberFormat="1" applyFont="1" applyBorder="1"/>
    <xf numFmtId="180" fontId="0" fillId="0" borderId="2" xfId="8" applyNumberFormat="1" applyFont="1" applyBorder="1"/>
    <xf numFmtId="180" fontId="0" fillId="0" borderId="14" xfId="8" applyNumberFormat="1" applyFont="1" applyBorder="1"/>
    <xf numFmtId="180" fontId="0" fillId="0" borderId="3" xfId="8" applyNumberFormat="1" applyFont="1" applyBorder="1"/>
    <xf numFmtId="180" fontId="0" fillId="0" borderId="23" xfId="8" applyNumberFormat="1" applyFont="1" applyBorder="1"/>
    <xf numFmtId="180" fontId="0" fillId="0" borderId="15" xfId="8" applyNumberFormat="1" applyFont="1" applyBorder="1"/>
    <xf numFmtId="178" fontId="4" fillId="0" borderId="21" xfId="8" applyNumberFormat="1" applyFont="1" applyBorder="1" applyAlignment="1">
      <alignment vertical="center"/>
    </xf>
    <xf numFmtId="178" fontId="4" fillId="0" borderId="13" xfId="8" applyNumberFormat="1" applyFont="1" applyBorder="1" applyAlignment="1">
      <alignment vertical="center"/>
    </xf>
    <xf numFmtId="178" fontId="4" fillId="0" borderId="22" xfId="8" applyNumberFormat="1" applyFont="1" applyBorder="1" applyAlignment="1">
      <alignment vertical="center"/>
    </xf>
    <xf numFmtId="178" fontId="4" fillId="0" borderId="14" xfId="8" applyNumberFormat="1" applyFont="1" applyBorder="1" applyAlignment="1">
      <alignment vertical="center"/>
    </xf>
    <xf numFmtId="178" fontId="4" fillId="0" borderId="23" xfId="8" applyNumberFormat="1" applyFont="1" applyBorder="1" applyAlignment="1">
      <alignment vertical="center"/>
    </xf>
    <xf numFmtId="178" fontId="4" fillId="0" borderId="15" xfId="8" applyNumberFormat="1" applyFont="1" applyBorder="1" applyAlignment="1">
      <alignment vertical="center"/>
    </xf>
    <xf numFmtId="181" fontId="4" fillId="0" borderId="1" xfId="8" applyNumberFormat="1" applyFont="1" applyBorder="1" applyAlignment="1">
      <alignment vertical="center"/>
    </xf>
    <xf numFmtId="181" fontId="4" fillId="0" borderId="21" xfId="8" applyNumberFormat="1" applyFont="1" applyBorder="1" applyAlignment="1">
      <alignment vertical="center"/>
    </xf>
    <xf numFmtId="181" fontId="4" fillId="0" borderId="13" xfId="8" applyNumberFormat="1" applyFont="1" applyBorder="1" applyAlignment="1">
      <alignment vertical="center"/>
    </xf>
    <xf numFmtId="181" fontId="4" fillId="0" borderId="2" xfId="8" applyNumberFormat="1" applyFont="1" applyBorder="1" applyAlignment="1">
      <alignment vertical="center"/>
    </xf>
    <xf numFmtId="181" fontId="4" fillId="0" borderId="22" xfId="8" applyNumberFormat="1" applyFont="1" applyBorder="1" applyAlignment="1">
      <alignment vertical="center"/>
    </xf>
    <xf numFmtId="181" fontId="4" fillId="0" borderId="14" xfId="8" applyNumberFormat="1" applyFont="1" applyBorder="1" applyAlignment="1">
      <alignment vertical="center"/>
    </xf>
    <xf numFmtId="181" fontId="4" fillId="0" borderId="3" xfId="8" applyNumberFormat="1" applyFont="1" applyBorder="1" applyAlignment="1">
      <alignment vertical="center"/>
    </xf>
    <xf numFmtId="181" fontId="4" fillId="0" borderId="23" xfId="8" applyNumberFormat="1" applyFont="1" applyBorder="1" applyAlignment="1">
      <alignment vertical="center"/>
    </xf>
    <xf numFmtId="181" fontId="4" fillId="0" borderId="15" xfId="8" applyNumberFormat="1" applyFont="1" applyBorder="1" applyAlignment="1">
      <alignment vertical="center"/>
    </xf>
    <xf numFmtId="172" fontId="0" fillId="0" borderId="0" xfId="0" applyNumberFormat="1"/>
    <xf numFmtId="0" fontId="12" fillId="0" borderId="0" xfId="0" applyFont="1" applyFill="1" applyBorder="1" applyAlignment="1">
      <alignment horizontal="left" vertical="center"/>
    </xf>
    <xf numFmtId="0" fontId="50" fillId="0" borderId="0" xfId="0" applyFont="1" applyAlignment="1">
      <alignment vertical="center"/>
    </xf>
    <xf numFmtId="0" fontId="22" fillId="2" borderId="30" xfId="0" applyFont="1" applyFill="1" applyBorder="1" applyAlignment="1">
      <alignment horizontal="left" vertical="center" indent="1"/>
    </xf>
    <xf numFmtId="0" fontId="17" fillId="2" borderId="10" xfId="0" applyFont="1" applyFill="1" applyBorder="1" applyAlignment="1">
      <alignment vertical="center"/>
    </xf>
    <xf numFmtId="0" fontId="13" fillId="2" borderId="10" xfId="0" applyFont="1" applyFill="1" applyBorder="1" applyAlignment="1">
      <alignment vertical="center"/>
    </xf>
    <xf numFmtId="0" fontId="4" fillId="0" borderId="120" xfId="0" applyFont="1" applyBorder="1" applyAlignment="1">
      <alignment horizontal="center" vertical="center"/>
    </xf>
    <xf numFmtId="178" fontId="4" fillId="0" borderId="121" xfId="8" applyNumberFormat="1" applyFont="1" applyBorder="1" applyAlignment="1">
      <alignment vertical="center"/>
    </xf>
    <xf numFmtId="178" fontId="4" fillId="0" borderId="122" xfId="8" applyNumberFormat="1" applyFont="1" applyBorder="1" applyAlignment="1">
      <alignment vertical="center"/>
    </xf>
    <xf numFmtId="0" fontId="4" fillId="0" borderId="123" xfId="0" applyFont="1" applyBorder="1" applyAlignment="1">
      <alignment horizontal="center" vertical="center"/>
    </xf>
    <xf numFmtId="178" fontId="4" fillId="0" borderId="124" xfId="8" applyNumberFormat="1" applyFont="1" applyBorder="1" applyAlignment="1">
      <alignment vertical="center"/>
    </xf>
    <xf numFmtId="178" fontId="4" fillId="0" borderId="125" xfId="8" applyNumberFormat="1" applyFont="1" applyBorder="1" applyAlignment="1">
      <alignment vertical="center"/>
    </xf>
    <xf numFmtId="0" fontId="3" fillId="0" borderId="126" xfId="0" applyFont="1" applyBorder="1" applyAlignment="1">
      <alignment horizontal="center" vertical="center"/>
    </xf>
    <xf numFmtId="178" fontId="4" fillId="0" borderId="127" xfId="8" applyNumberFormat="1" applyFont="1" applyBorder="1" applyAlignment="1">
      <alignment vertical="center"/>
    </xf>
    <xf numFmtId="178" fontId="4" fillId="0" borderId="128" xfId="8" applyNumberFormat="1" applyFont="1" applyBorder="1" applyAlignment="1">
      <alignment vertical="center"/>
    </xf>
    <xf numFmtId="181" fontId="0" fillId="0" borderId="98" xfId="0" applyNumberFormat="1" applyBorder="1"/>
    <xf numFmtId="181" fontId="0" fillId="0" borderId="22" xfId="0" applyNumberFormat="1" applyBorder="1"/>
    <xf numFmtId="181" fontId="0" fillId="0" borderId="70" xfId="0" applyNumberFormat="1" applyBorder="1"/>
    <xf numFmtId="181" fontId="0" fillId="0" borderId="2" xfId="0" applyNumberFormat="1" applyBorder="1"/>
    <xf numFmtId="181" fontId="0" fillId="0" borderId="14" xfId="0" applyNumberFormat="1" applyBorder="1"/>
    <xf numFmtId="181" fontId="0" fillId="0" borderId="3" xfId="0" applyNumberFormat="1" applyBorder="1"/>
    <xf numFmtId="181" fontId="0" fillId="0" borderId="23" xfId="0" applyNumberFormat="1" applyBorder="1"/>
    <xf numFmtId="182" fontId="0" fillId="0" borderId="0" xfId="0" applyNumberFormat="1"/>
    <xf numFmtId="172" fontId="22" fillId="51" borderId="115" xfId="8" applyNumberFormat="1" applyFont="1" applyFill="1" applyBorder="1" applyAlignment="1">
      <alignment horizontal="center" vertical="center" wrapText="1"/>
    </xf>
    <xf numFmtId="182" fontId="0" fillId="0" borderId="121" xfId="8" applyNumberFormat="1" applyFont="1" applyBorder="1"/>
    <xf numFmtId="182" fontId="0" fillId="0" borderId="121" xfId="0" applyNumberFormat="1" applyBorder="1"/>
    <xf numFmtId="182" fontId="0" fillId="0" borderId="124" xfId="8" applyNumberFormat="1" applyFont="1" applyBorder="1"/>
    <xf numFmtId="182" fontId="0" fillId="0" borderId="124" xfId="0" applyNumberFormat="1" applyBorder="1"/>
    <xf numFmtId="169" fontId="0" fillId="0" borderId="122" xfId="3" applyNumberFormat="1" applyFont="1" applyBorder="1" applyAlignment="1">
      <alignment horizontal="right" indent="1"/>
    </xf>
    <xf numFmtId="169" fontId="0" fillId="0" borderId="125" xfId="3" applyNumberFormat="1" applyFont="1" applyBorder="1" applyAlignment="1">
      <alignment horizontal="right" indent="1"/>
    </xf>
    <xf numFmtId="182" fontId="0" fillId="0" borderId="127" xfId="8" applyNumberFormat="1" applyFont="1" applyBorder="1"/>
    <xf numFmtId="182" fontId="0" fillId="0" borderId="127" xfId="0" applyNumberFormat="1" applyBorder="1"/>
    <xf numFmtId="169" fontId="0" fillId="0" borderId="128" xfId="3" applyNumberFormat="1" applyFont="1" applyBorder="1" applyAlignment="1">
      <alignment horizontal="right" indent="1"/>
    </xf>
    <xf numFmtId="172" fontId="4" fillId="19" borderId="23" xfId="8" applyNumberFormat="1" applyFont="1" applyFill="1" applyBorder="1" applyAlignment="1">
      <alignment vertical="center"/>
    </xf>
    <xf numFmtId="172" fontId="4" fillId="19" borderId="15" xfId="8" applyNumberFormat="1" applyFont="1" applyFill="1" applyBorder="1" applyAlignment="1">
      <alignment vertical="center"/>
    </xf>
    <xf numFmtId="0" fontId="4" fillId="19" borderId="3" xfId="0" applyFont="1" applyFill="1" applyBorder="1" applyAlignment="1">
      <alignment horizontal="center" vertical="center"/>
    </xf>
    <xf numFmtId="172" fontId="4" fillId="19" borderId="3" xfId="8" applyNumberFormat="1" applyFont="1" applyFill="1" applyBorder="1" applyAlignment="1">
      <alignment vertical="center"/>
    </xf>
    <xf numFmtId="181" fontId="4" fillId="19" borderId="3" xfId="8" applyNumberFormat="1" applyFont="1" applyFill="1" applyBorder="1" applyAlignment="1">
      <alignment vertical="center"/>
    </xf>
    <xf numFmtId="181" fontId="4" fillId="19" borderId="23" xfId="8" applyNumberFormat="1" applyFont="1" applyFill="1" applyBorder="1" applyAlignment="1">
      <alignment vertical="center"/>
    </xf>
    <xf numFmtId="181" fontId="4" fillId="19" borderId="15" xfId="8" applyNumberFormat="1" applyFont="1" applyFill="1" applyBorder="1" applyAlignment="1">
      <alignment vertical="center"/>
    </xf>
    <xf numFmtId="178" fontId="4" fillId="19" borderId="23" xfId="8" applyNumberFormat="1" applyFont="1" applyFill="1" applyBorder="1" applyAlignment="1">
      <alignment vertical="center"/>
    </xf>
    <xf numFmtId="178" fontId="4" fillId="19" borderId="15" xfId="8" applyNumberFormat="1" applyFont="1" applyFill="1" applyBorder="1" applyAlignment="1">
      <alignment vertical="center"/>
    </xf>
    <xf numFmtId="0" fontId="3" fillId="19" borderId="126" xfId="0" applyFont="1" applyFill="1" applyBorder="1" applyAlignment="1">
      <alignment horizontal="center" vertical="center"/>
    </xf>
    <xf numFmtId="178" fontId="4" fillId="19" borderId="127" xfId="8" applyNumberFormat="1" applyFont="1" applyFill="1" applyBorder="1" applyAlignment="1">
      <alignment vertical="center"/>
    </xf>
    <xf numFmtId="178" fontId="4" fillId="19" borderId="128" xfId="8" applyNumberFormat="1" applyFont="1" applyFill="1" applyBorder="1" applyAlignment="1">
      <alignment vertical="center"/>
    </xf>
    <xf numFmtId="181" fontId="0" fillId="19" borderId="3" xfId="0" applyNumberFormat="1" applyFill="1" applyBorder="1"/>
    <xf numFmtId="181" fontId="0" fillId="19" borderId="23" xfId="0" applyNumberFormat="1" applyFill="1" applyBorder="1"/>
    <xf numFmtId="181" fontId="0" fillId="19" borderId="15" xfId="0" applyNumberFormat="1" applyFill="1" applyBorder="1"/>
    <xf numFmtId="180" fontId="0" fillId="19" borderId="23" xfId="8" applyNumberFormat="1" applyFont="1" applyFill="1" applyBorder="1"/>
    <xf numFmtId="180" fontId="0" fillId="19" borderId="15" xfId="8" applyNumberFormat="1" applyFont="1" applyFill="1" applyBorder="1"/>
    <xf numFmtId="180" fontId="0" fillId="19" borderId="3" xfId="8" applyNumberFormat="1" applyFont="1" applyFill="1" applyBorder="1"/>
    <xf numFmtId="182" fontId="0" fillId="19" borderId="127" xfId="8" applyNumberFormat="1" applyFont="1" applyFill="1" applyBorder="1"/>
    <xf numFmtId="182" fontId="0" fillId="19" borderId="127" xfId="0" applyNumberFormat="1" applyFill="1" applyBorder="1"/>
    <xf numFmtId="169" fontId="0" fillId="19" borderId="128" xfId="3" applyNumberFormat="1" applyFont="1" applyFill="1" applyBorder="1" applyAlignment="1">
      <alignment horizontal="right" indent="1"/>
    </xf>
    <xf numFmtId="0" fontId="13" fillId="0" borderId="0" xfId="0" applyFont="1" applyBorder="1" applyAlignment="1">
      <alignment horizontal="left" vertical="center" indent="1"/>
    </xf>
    <xf numFmtId="182" fontId="13" fillId="0" borderId="0" xfId="8" applyNumberFormat="1" applyFont="1" applyBorder="1" applyAlignment="1">
      <alignment vertical="center"/>
    </xf>
    <xf numFmtId="182" fontId="13" fillId="0" borderId="0" xfId="0" applyNumberFormat="1" applyFont="1" applyBorder="1" applyAlignment="1">
      <alignment vertical="center"/>
    </xf>
    <xf numFmtId="169" fontId="13" fillId="0" borderId="0" xfId="3" applyNumberFormat="1" applyFont="1" applyBorder="1" applyAlignment="1">
      <alignment horizontal="right" vertical="center" indent="1"/>
    </xf>
    <xf numFmtId="0" fontId="4" fillId="0" borderId="3" xfId="0" applyFont="1" applyFill="1" applyBorder="1" applyAlignment="1">
      <alignment horizontal="center" vertical="center"/>
    </xf>
    <xf numFmtId="172" fontId="4" fillId="0" borderId="23" xfId="8" applyNumberFormat="1" applyFont="1" applyFill="1" applyBorder="1" applyAlignment="1">
      <alignment vertical="center"/>
    </xf>
    <xf numFmtId="172" fontId="4" fillId="0" borderId="15" xfId="8" applyNumberFormat="1" applyFont="1" applyFill="1" applyBorder="1" applyAlignment="1">
      <alignment vertical="center"/>
    </xf>
    <xf numFmtId="0" fontId="0" fillId="0" borderId="0" xfId="0" applyFill="1"/>
    <xf numFmtId="181" fontId="4" fillId="0" borderId="23" xfId="8" applyNumberFormat="1" applyFont="1" applyFill="1" applyBorder="1" applyAlignment="1">
      <alignment vertical="center"/>
    </xf>
    <xf numFmtId="181" fontId="4" fillId="0" borderId="15" xfId="8" applyNumberFormat="1" applyFont="1" applyFill="1" applyBorder="1" applyAlignment="1">
      <alignment vertical="center"/>
    </xf>
    <xf numFmtId="172" fontId="4" fillId="0" borderId="52" xfId="8" applyNumberFormat="1" applyFont="1" applyBorder="1" applyAlignment="1">
      <alignment vertical="center"/>
    </xf>
    <xf numFmtId="172" fontId="4" fillId="0" borderId="41" xfId="8" applyNumberFormat="1" applyFont="1" applyBorder="1" applyAlignment="1">
      <alignment vertical="center"/>
    </xf>
    <xf numFmtId="172" fontId="4" fillId="0" borderId="42" xfId="8" applyNumberFormat="1" applyFont="1" applyFill="1" applyBorder="1" applyAlignment="1">
      <alignment vertical="center"/>
    </xf>
    <xf numFmtId="181" fontId="4" fillId="0" borderId="52" xfId="8" applyNumberFormat="1" applyFont="1" applyBorder="1" applyAlignment="1">
      <alignment vertical="center"/>
    </xf>
    <xf numFmtId="181" fontId="4" fillId="0" borderId="41" xfId="8" applyNumberFormat="1" applyFont="1" applyBorder="1" applyAlignment="1">
      <alignment vertical="center"/>
    </xf>
    <xf numFmtId="180" fontId="0" fillId="0" borderId="23" xfId="8" applyNumberFormat="1" applyFont="1" applyFill="1" applyBorder="1"/>
    <xf numFmtId="180" fontId="0" fillId="0" borderId="15" xfId="8" applyNumberFormat="1" applyFont="1" applyFill="1" applyBorder="1"/>
    <xf numFmtId="180" fontId="0" fillId="0" borderId="3" xfId="8" applyNumberFormat="1" applyFont="1" applyFill="1" applyBorder="1"/>
    <xf numFmtId="175" fontId="0" fillId="0" borderId="0" xfId="0" applyNumberFormat="1"/>
    <xf numFmtId="182" fontId="0" fillId="0" borderId="0" xfId="8" applyNumberFormat="1" applyFont="1"/>
    <xf numFmtId="167" fontId="0" fillId="0" borderId="0" xfId="0" applyNumberFormat="1"/>
    <xf numFmtId="172" fontId="2" fillId="0" borderId="0" xfId="8" applyNumberFormat="1" applyFont="1" applyBorder="1" applyAlignment="1">
      <alignment vertical="center"/>
    </xf>
    <xf numFmtId="183" fontId="0" fillId="0" borderId="0" xfId="0" applyNumberFormat="1"/>
    <xf numFmtId="0" fontId="32" fillId="2" borderId="35" xfId="0" applyFont="1" applyFill="1" applyBorder="1" applyAlignment="1">
      <alignment horizontal="centerContinuous" vertical="center"/>
    </xf>
    <xf numFmtId="10" fontId="0" fillId="0" borderId="0" xfId="0" applyNumberFormat="1"/>
    <xf numFmtId="169" fontId="0" fillId="0" borderId="0" xfId="3" applyNumberFormat="1" applyFont="1"/>
    <xf numFmtId="10" fontId="0" fillId="0" borderId="0" xfId="3" applyNumberFormat="1" applyFont="1"/>
    <xf numFmtId="182" fontId="0" fillId="0" borderId="0" xfId="0" applyNumberFormat="1" applyFill="1" applyBorder="1"/>
    <xf numFmtId="169" fontId="0" fillId="0" borderId="0" xfId="3" applyNumberFormat="1" applyFont="1" applyFill="1" applyBorder="1" applyAlignment="1">
      <alignment horizontal="right" indent="1"/>
    </xf>
    <xf numFmtId="169" fontId="0" fillId="0" borderId="0" xfId="3" applyNumberFormat="1" applyFont="1" applyAlignment="1">
      <alignment vertical="center"/>
    </xf>
    <xf numFmtId="172" fontId="4" fillId="0" borderId="0" xfId="0" applyNumberFormat="1" applyFont="1"/>
    <xf numFmtId="169" fontId="0" fillId="0" borderId="131" xfId="3" applyNumberFormat="1" applyFont="1" applyBorder="1" applyAlignment="1">
      <alignment vertical="center"/>
    </xf>
    <xf numFmtId="169" fontId="0" fillId="0" borderId="18" xfId="3" applyNumberFormat="1" applyFont="1" applyBorder="1" applyAlignment="1">
      <alignment vertical="center"/>
    </xf>
    <xf numFmtId="0" fontId="0" fillId="0" borderId="131" xfId="0" applyBorder="1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182" fontId="0" fillId="0" borderId="0" xfId="8" applyNumberFormat="1" applyFont="1" applyAlignment="1">
      <alignment vertical="center"/>
    </xf>
    <xf numFmtId="185" fontId="0" fillId="0" borderId="0" xfId="0" applyNumberFormat="1" applyAlignment="1">
      <alignment vertical="center"/>
    </xf>
    <xf numFmtId="186" fontId="0" fillId="0" borderId="0" xfId="8" applyNumberFormat="1" applyFont="1" applyAlignment="1">
      <alignment vertical="center"/>
    </xf>
    <xf numFmtId="169" fontId="13" fillId="0" borderId="0" xfId="3" applyNumberFormat="1" applyFont="1" applyAlignment="1">
      <alignment vertical="center"/>
    </xf>
    <xf numFmtId="187" fontId="0" fillId="0" borderId="0" xfId="0" applyNumberFormat="1"/>
    <xf numFmtId="172" fontId="22" fillId="51" borderId="116" xfId="8" applyNumberFormat="1" applyFont="1" applyFill="1" applyBorder="1" applyAlignment="1">
      <alignment horizontal="center" vertical="center" wrapText="1"/>
    </xf>
    <xf numFmtId="0" fontId="1" fillId="0" borderId="0" xfId="313" applyFont="1"/>
    <xf numFmtId="172" fontId="22" fillId="51" borderId="54" xfId="315" applyNumberFormat="1" applyFont="1" applyFill="1" applyBorder="1" applyAlignment="1">
      <alignment horizontal="centerContinuous" vertical="center" wrapText="1"/>
    </xf>
    <xf numFmtId="172" fontId="22" fillId="51" borderId="55" xfId="315" applyNumberFormat="1" applyFont="1" applyFill="1" applyBorder="1" applyAlignment="1">
      <alignment horizontal="centerContinuous" vertical="center" wrapText="1"/>
    </xf>
    <xf numFmtId="0" fontId="1" fillId="0" borderId="0" xfId="313" applyFont="1" applyAlignment="1">
      <alignment vertical="center"/>
    </xf>
    <xf numFmtId="172" fontId="22" fillId="51" borderId="115" xfId="315" applyNumberFormat="1" applyFont="1" applyFill="1" applyBorder="1" applyAlignment="1">
      <alignment horizontal="center" vertical="center"/>
    </xf>
    <xf numFmtId="172" fontId="22" fillId="51" borderId="116" xfId="315" applyNumberFormat="1" applyFont="1" applyFill="1" applyBorder="1" applyAlignment="1">
      <alignment horizontal="center" vertical="center"/>
    </xf>
    <xf numFmtId="0" fontId="1" fillId="0" borderId="59" xfId="313" applyFont="1" applyBorder="1" applyAlignment="1">
      <alignment horizontal="center" vertical="center"/>
    </xf>
    <xf numFmtId="172" fontId="1" fillId="0" borderId="93" xfId="315" applyNumberFormat="1" applyFont="1" applyBorder="1" applyAlignment="1">
      <alignment vertical="center"/>
    </xf>
    <xf numFmtId="172" fontId="1" fillId="0" borderId="83" xfId="315" applyNumberFormat="1" applyFont="1" applyBorder="1" applyAlignment="1">
      <alignment vertical="center"/>
    </xf>
    <xf numFmtId="165" fontId="1" fillId="0" borderId="0" xfId="315" applyFont="1"/>
    <xf numFmtId="172" fontId="1" fillId="0" borderId="0" xfId="315" applyNumberFormat="1" applyFont="1"/>
    <xf numFmtId="169" fontId="1" fillId="0" borderId="132" xfId="314" applyNumberFormat="1" applyFont="1" applyBorder="1" applyAlignment="1">
      <alignment horizontal="right" vertical="center" indent="1"/>
    </xf>
    <xf numFmtId="169" fontId="1" fillId="0" borderId="64" xfId="314" applyNumberFormat="1" applyFont="1" applyBorder="1" applyAlignment="1">
      <alignment horizontal="right" vertical="center" indent="1"/>
    </xf>
    <xf numFmtId="169" fontId="1" fillId="0" borderId="91" xfId="314" applyNumberFormat="1" applyFont="1" applyBorder="1" applyAlignment="1">
      <alignment horizontal="right" vertical="center" indent="1"/>
    </xf>
    <xf numFmtId="9" fontId="1" fillId="0" borderId="0" xfId="314" applyFont="1"/>
    <xf numFmtId="172" fontId="1" fillId="0" borderId="132" xfId="313" applyNumberFormat="1" applyFont="1" applyBorder="1" applyAlignment="1">
      <alignment vertical="center"/>
    </xf>
    <xf numFmtId="172" fontId="1" fillId="0" borderId="64" xfId="313" applyNumberFormat="1" applyFont="1" applyBorder="1" applyAlignment="1">
      <alignment vertical="center"/>
    </xf>
    <xf numFmtId="172" fontId="1" fillId="0" borderId="51" xfId="313" applyNumberFormat="1" applyFont="1" applyBorder="1" applyAlignment="1">
      <alignment vertical="center"/>
    </xf>
    <xf numFmtId="172" fontId="1" fillId="0" borderId="91" xfId="313" applyNumberFormat="1" applyFont="1" applyBorder="1" applyAlignment="1">
      <alignment vertical="center"/>
    </xf>
    <xf numFmtId="172" fontId="1" fillId="0" borderId="93" xfId="313" applyNumberFormat="1" applyFont="1" applyBorder="1" applyAlignment="1">
      <alignment vertical="center"/>
    </xf>
    <xf numFmtId="172" fontId="1" fillId="0" borderId="65" xfId="313" applyNumberFormat="1" applyFont="1" applyBorder="1" applyAlignment="1">
      <alignment vertical="center"/>
    </xf>
    <xf numFmtId="172" fontId="1" fillId="0" borderId="68" xfId="313" applyNumberFormat="1" applyFont="1" applyBorder="1" applyAlignment="1">
      <alignment vertical="center"/>
    </xf>
    <xf numFmtId="0" fontId="1" fillId="0" borderId="1" xfId="313" applyFont="1" applyBorder="1" applyAlignment="1">
      <alignment horizontal="center" vertical="center"/>
    </xf>
    <xf numFmtId="178" fontId="1" fillId="0" borderId="21" xfId="315" applyNumberFormat="1" applyFont="1" applyBorder="1" applyAlignment="1">
      <alignment vertical="center"/>
    </xf>
    <xf numFmtId="178" fontId="1" fillId="0" borderId="13" xfId="315" applyNumberFormat="1" applyFont="1" applyBorder="1" applyAlignment="1">
      <alignment vertical="center"/>
    </xf>
    <xf numFmtId="178" fontId="1" fillId="0" borderId="93" xfId="315" applyNumberFormat="1" applyFont="1" applyBorder="1" applyAlignment="1">
      <alignment vertical="center"/>
    </xf>
    <xf numFmtId="178" fontId="1" fillId="0" borderId="83" xfId="315" applyNumberFormat="1" applyFont="1" applyBorder="1" applyAlignment="1">
      <alignment vertical="center"/>
    </xf>
    <xf numFmtId="182" fontId="1" fillId="0" borderId="93" xfId="8" applyNumberFormat="1" applyFont="1" applyBorder="1" applyAlignment="1">
      <alignment vertical="center"/>
    </xf>
    <xf numFmtId="182" fontId="1" fillId="0" borderId="83" xfId="8" applyNumberFormat="1" applyFont="1" applyBorder="1" applyAlignment="1">
      <alignment vertical="center"/>
    </xf>
    <xf numFmtId="0" fontId="1" fillId="0" borderId="84" xfId="313" applyFont="1" applyBorder="1" applyAlignment="1">
      <alignment horizontal="left" vertical="center" indent="1"/>
    </xf>
    <xf numFmtId="0" fontId="1" fillId="0" borderId="118" xfId="313" applyFont="1" applyBorder="1" applyAlignment="1">
      <alignment horizontal="left" vertical="center" indent="1"/>
    </xf>
    <xf numFmtId="182" fontId="1" fillId="0" borderId="21" xfId="8" applyNumberFormat="1" applyFont="1" applyBorder="1" applyAlignment="1">
      <alignment vertical="center"/>
    </xf>
    <xf numFmtId="182" fontId="1" fillId="0" borderId="13" xfId="8" applyNumberFormat="1" applyFont="1" applyBorder="1" applyAlignment="1">
      <alignment vertical="center"/>
    </xf>
    <xf numFmtId="0" fontId="1" fillId="0" borderId="0" xfId="313" applyFont="1" applyBorder="1" applyAlignment="1">
      <alignment horizontal="left" vertical="center"/>
    </xf>
    <xf numFmtId="169" fontId="1" fillId="0" borderId="0" xfId="314" applyNumberFormat="1" applyFont="1" applyBorder="1" applyAlignment="1">
      <alignment horizontal="right" vertical="center" indent="1"/>
    </xf>
    <xf numFmtId="172" fontId="23" fillId="0" borderId="51" xfId="313" applyNumberFormat="1" applyFont="1" applyBorder="1" applyAlignment="1">
      <alignment vertical="center"/>
    </xf>
    <xf numFmtId="172" fontId="1" fillId="0" borderId="92" xfId="313" applyNumberFormat="1" applyFont="1" applyBorder="1" applyAlignment="1">
      <alignment vertical="center"/>
    </xf>
    <xf numFmtId="0" fontId="1" fillId="0" borderId="0" xfId="313" applyFont="1" applyBorder="1" applyAlignment="1">
      <alignment horizontal="center" vertical="center"/>
    </xf>
    <xf numFmtId="181" fontId="1" fillId="0" borderId="0" xfId="315" applyNumberFormat="1" applyFont="1" applyBorder="1" applyAlignment="1">
      <alignment vertical="center"/>
    </xf>
    <xf numFmtId="0" fontId="1" fillId="0" borderId="1" xfId="313" applyFont="1" applyBorder="1" applyAlignment="1">
      <alignment horizontal="left" vertical="center" indent="1"/>
    </xf>
    <xf numFmtId="0" fontId="23" fillId="0" borderId="84" xfId="313" applyFont="1" applyBorder="1" applyAlignment="1">
      <alignment horizontal="left" vertical="center"/>
    </xf>
    <xf numFmtId="0" fontId="4" fillId="0" borderId="123" xfId="0" applyFont="1" applyBorder="1" applyAlignment="1">
      <alignment horizontal="left" vertical="center" indent="1"/>
    </xf>
    <xf numFmtId="0" fontId="4" fillId="0" borderId="126" xfId="0" applyFont="1" applyBorder="1" applyAlignment="1">
      <alignment horizontal="left" vertical="center" indent="1"/>
    </xf>
    <xf numFmtId="188" fontId="1" fillId="0" borderId="52" xfId="8" applyNumberFormat="1" applyFont="1" applyBorder="1" applyAlignment="1">
      <alignment vertical="center"/>
    </xf>
    <xf numFmtId="182" fontId="0" fillId="0" borderId="124" xfId="8" applyNumberFormat="1" applyFont="1" applyBorder="1" applyAlignment="1">
      <alignment vertical="center"/>
    </xf>
    <xf numFmtId="169" fontId="0" fillId="0" borderId="125" xfId="3" applyNumberFormat="1" applyFont="1" applyBorder="1" applyAlignment="1">
      <alignment horizontal="right" vertical="center" inden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indent="1"/>
    </xf>
    <xf numFmtId="9" fontId="0" fillId="0" borderId="0" xfId="0" applyNumberFormat="1"/>
    <xf numFmtId="172" fontId="22" fillId="51" borderId="135" xfId="315" applyNumberFormat="1" applyFont="1" applyFill="1" applyBorder="1" applyAlignment="1">
      <alignment horizontal="centerContinuous" vertical="center" wrapText="1"/>
    </xf>
    <xf numFmtId="0" fontId="1" fillId="0" borderId="136" xfId="313" applyFont="1" applyBorder="1" applyAlignment="1">
      <alignment horizontal="left" vertical="center" indent="1"/>
    </xf>
    <xf numFmtId="188" fontId="1" fillId="0" borderId="137" xfId="8" applyNumberFormat="1" applyFont="1" applyBorder="1" applyAlignment="1">
      <alignment vertical="center"/>
    </xf>
    <xf numFmtId="0" fontId="4" fillId="0" borderId="139" xfId="0" applyFont="1" applyBorder="1" applyAlignment="1">
      <alignment horizontal="left" vertical="center" indent="1"/>
    </xf>
    <xf numFmtId="182" fontId="1" fillId="0" borderId="51" xfId="313" applyNumberFormat="1" applyFont="1" applyBorder="1" applyAlignment="1">
      <alignment vertical="center"/>
    </xf>
    <xf numFmtId="182" fontId="1" fillId="0" borderId="68" xfId="313" applyNumberFormat="1" applyFont="1" applyBorder="1" applyAlignment="1">
      <alignment vertical="center"/>
    </xf>
    <xf numFmtId="169" fontId="0" fillId="0" borderId="13" xfId="3" applyNumberFormat="1" applyFont="1" applyBorder="1" applyAlignment="1">
      <alignment vertical="center"/>
    </xf>
    <xf numFmtId="169" fontId="0" fillId="0" borderId="14" xfId="3" applyNumberFormat="1" applyFont="1" applyBorder="1" applyAlignment="1">
      <alignment vertical="center"/>
    </xf>
    <xf numFmtId="0" fontId="0" fillId="0" borderId="19" xfId="0" applyBorder="1" applyAlignment="1">
      <alignment horizontal="right" vertical="center" indent="1"/>
    </xf>
    <xf numFmtId="169" fontId="0" fillId="0" borderId="19" xfId="3" applyNumberFormat="1" applyFont="1" applyBorder="1" applyAlignment="1">
      <alignment vertical="center"/>
    </xf>
    <xf numFmtId="169" fontId="0" fillId="0" borderId="15" xfId="3" applyNumberFormat="1" applyFont="1" applyBorder="1" applyAlignment="1">
      <alignment vertical="center"/>
    </xf>
    <xf numFmtId="0" fontId="59" fillId="0" borderId="0" xfId="0" applyFont="1" applyAlignment="1">
      <alignment vertical="center"/>
    </xf>
    <xf numFmtId="0" fontId="60" fillId="0" borderId="0" xfId="0" applyFont="1" applyAlignment="1">
      <alignment vertical="center"/>
    </xf>
    <xf numFmtId="0" fontId="61" fillId="0" borderId="0" xfId="0" applyFont="1"/>
    <xf numFmtId="0" fontId="62" fillId="0" borderId="0" xfId="0" applyFont="1"/>
    <xf numFmtId="184" fontId="0" fillId="0" borderId="0" xfId="0" applyNumberFormat="1"/>
    <xf numFmtId="0" fontId="23" fillId="19" borderId="27" xfId="313" applyFont="1" applyFill="1" applyBorder="1" applyAlignment="1">
      <alignment horizontal="left" vertical="center" indent="1"/>
    </xf>
    <xf numFmtId="188" fontId="23" fillId="19" borderId="106" xfId="8" applyNumberFormat="1" applyFont="1" applyFill="1" applyBorder="1" applyAlignment="1">
      <alignment vertical="center"/>
    </xf>
    <xf numFmtId="181" fontId="23" fillId="19" borderId="38" xfId="315" applyNumberFormat="1" applyFont="1" applyFill="1" applyBorder="1" applyAlignment="1">
      <alignment vertical="center"/>
    </xf>
    <xf numFmtId="181" fontId="23" fillId="19" borderId="29" xfId="315" applyNumberFormat="1" applyFont="1" applyFill="1" applyBorder="1" applyAlignment="1">
      <alignment vertical="center"/>
    </xf>
    <xf numFmtId="169" fontId="23" fillId="19" borderId="38" xfId="314" applyNumberFormat="1" applyFont="1" applyFill="1" applyBorder="1" applyAlignment="1">
      <alignment horizontal="right" vertical="center" indent="1"/>
    </xf>
    <xf numFmtId="169" fontId="23" fillId="19" borderId="29" xfId="314" applyNumberFormat="1" applyFont="1" applyFill="1" applyBorder="1" applyAlignment="1">
      <alignment horizontal="right" vertical="center" indent="1"/>
    </xf>
    <xf numFmtId="0" fontId="64" fillId="0" borderId="0" xfId="0" applyFont="1"/>
    <xf numFmtId="182" fontId="13" fillId="19" borderId="24" xfId="8" applyNumberFormat="1" applyFont="1" applyFill="1" applyBorder="1" applyAlignment="1">
      <alignment vertical="center"/>
    </xf>
    <xf numFmtId="182" fontId="13" fillId="19" borderId="24" xfId="0" applyNumberFormat="1" applyFont="1" applyFill="1" applyBorder="1" applyAlignment="1">
      <alignment vertical="center"/>
    </xf>
    <xf numFmtId="169" fontId="13" fillId="19" borderId="17" xfId="3" applyNumberFormat="1" applyFont="1" applyFill="1" applyBorder="1" applyAlignment="1">
      <alignment horizontal="right" vertical="center" indent="1"/>
    </xf>
    <xf numFmtId="0" fontId="23" fillId="19" borderId="59" xfId="0" applyFont="1" applyFill="1" applyBorder="1" applyAlignment="1">
      <alignment horizontal="left" vertical="center" indent="1"/>
    </xf>
    <xf numFmtId="0" fontId="17" fillId="0" borderId="94" xfId="0" applyFont="1" applyBorder="1"/>
    <xf numFmtId="0" fontId="64" fillId="0" borderId="94" xfId="0" applyFont="1" applyBorder="1"/>
    <xf numFmtId="0" fontId="13" fillId="19" borderId="4" xfId="0" applyFont="1" applyFill="1" applyBorder="1" applyAlignment="1">
      <alignment vertical="center"/>
    </xf>
    <xf numFmtId="169" fontId="13" fillId="19" borderId="17" xfId="3" applyNumberFormat="1" applyFont="1" applyFill="1" applyBorder="1" applyAlignment="1">
      <alignment horizontal="right" vertical="center"/>
    </xf>
    <xf numFmtId="0" fontId="23" fillId="19" borderId="126" xfId="0" applyFont="1" applyFill="1" applyBorder="1" applyAlignment="1">
      <alignment horizontal="left" vertical="center" indent="1"/>
    </xf>
    <xf numFmtId="182" fontId="13" fillId="19" borderId="127" xfId="8" applyNumberFormat="1" applyFont="1" applyFill="1" applyBorder="1" applyAlignment="1">
      <alignment vertical="center"/>
    </xf>
    <xf numFmtId="169" fontId="13" fillId="19" borderId="128" xfId="3" applyNumberFormat="1" applyFont="1" applyFill="1" applyBorder="1" applyAlignment="1">
      <alignment horizontal="right" vertical="center" indent="1"/>
    </xf>
    <xf numFmtId="0" fontId="63" fillId="0" borderId="0" xfId="0" applyFont="1" applyAlignment="1">
      <alignment vertical="center"/>
    </xf>
    <xf numFmtId="0" fontId="17" fillId="0" borderId="0" xfId="0" applyFont="1" applyBorder="1"/>
    <xf numFmtId="0" fontId="64" fillId="0" borderId="0" xfId="0" applyFont="1" applyBorder="1"/>
    <xf numFmtId="181" fontId="0" fillId="0" borderId="120" xfId="0" applyNumberFormat="1" applyBorder="1" applyAlignment="1">
      <alignment vertical="center"/>
    </xf>
    <xf numFmtId="181" fontId="0" fillId="0" borderId="121" xfId="0" applyNumberFormat="1" applyBorder="1" applyAlignment="1">
      <alignment vertical="center"/>
    </xf>
    <xf numFmtId="181" fontId="0" fillId="0" borderId="123" xfId="0" applyNumberFormat="1" applyBorder="1" applyAlignment="1">
      <alignment vertical="center"/>
    </xf>
    <xf numFmtId="181" fontId="0" fillId="0" borderId="124" xfId="0" applyNumberFormat="1" applyBorder="1" applyAlignment="1">
      <alignment vertical="center"/>
    </xf>
    <xf numFmtId="181" fontId="0" fillId="0" borderId="125" xfId="0" applyNumberFormat="1" applyBorder="1" applyAlignment="1">
      <alignment vertical="center"/>
    </xf>
    <xf numFmtId="181" fontId="0" fillId="0" borderId="126" xfId="0" applyNumberFormat="1" applyBorder="1" applyAlignment="1">
      <alignment vertical="center"/>
    </xf>
    <xf numFmtId="181" fontId="0" fillId="0" borderId="127" xfId="0" applyNumberFormat="1" applyBorder="1" applyAlignment="1">
      <alignment vertical="center"/>
    </xf>
    <xf numFmtId="181" fontId="0" fillId="0" borderId="128" xfId="0" applyNumberFormat="1" applyBorder="1" applyAlignment="1">
      <alignment vertical="center"/>
    </xf>
    <xf numFmtId="182" fontId="13" fillId="0" borderId="0" xfId="8" applyNumberFormat="1" applyFont="1" applyAlignment="1">
      <alignment vertical="center"/>
    </xf>
    <xf numFmtId="182" fontId="13" fillId="19" borderId="20" xfId="8" applyNumberFormat="1" applyFont="1" applyFill="1" applyBorder="1" applyAlignment="1">
      <alignment vertical="center"/>
    </xf>
    <xf numFmtId="182" fontId="13" fillId="19" borderId="17" xfId="8" applyNumberFormat="1" applyFont="1" applyFill="1" applyBorder="1" applyAlignment="1">
      <alignment vertical="center"/>
    </xf>
    <xf numFmtId="0" fontId="13" fillId="0" borderId="143" xfId="0" quotePrefix="1" applyFont="1" applyFill="1" applyBorder="1" applyAlignment="1">
      <alignment horizontal="left" vertical="center" indent="1"/>
    </xf>
    <xf numFmtId="0" fontId="25" fillId="0" borderId="144" xfId="0" applyFont="1" applyBorder="1" applyAlignment="1">
      <alignment vertical="center"/>
    </xf>
    <xf numFmtId="171" fontId="23" fillId="0" borderId="145" xfId="198" applyNumberFormat="1" applyFont="1" applyFill="1" applyBorder="1" applyAlignment="1">
      <alignment vertical="center"/>
    </xf>
    <xf numFmtId="0" fontId="12" fillId="0" borderId="146" xfId="0" applyFont="1" applyFill="1" applyBorder="1" applyAlignment="1">
      <alignment horizontal="left" vertical="center" indent="2"/>
    </xf>
    <xf numFmtId="0" fontId="27" fillId="0" borderId="147" xfId="0" applyFont="1" applyBorder="1" applyAlignment="1">
      <alignment vertical="center"/>
    </xf>
    <xf numFmtId="171" fontId="3" fillId="0" borderId="148" xfId="198" applyNumberFormat="1" applyFont="1" applyFill="1" applyBorder="1" applyAlignment="1">
      <alignment vertical="center"/>
    </xf>
    <xf numFmtId="0" fontId="13" fillId="0" borderId="146" xfId="0" quotePrefix="1" applyFont="1" applyFill="1" applyBorder="1" applyAlignment="1">
      <alignment horizontal="left" vertical="center" indent="1"/>
    </xf>
    <xf numFmtId="0" fontId="25" fillId="0" borderId="147" xfId="0" applyFont="1" applyBorder="1" applyAlignment="1">
      <alignment vertical="center"/>
    </xf>
    <xf numFmtId="171" fontId="23" fillId="0" borderId="148" xfId="198" applyNumberFormat="1" applyFont="1" applyFill="1" applyBorder="1" applyAlignment="1">
      <alignment vertical="center"/>
    </xf>
    <xf numFmtId="171" fontId="27" fillId="0" borderId="148" xfId="198" applyNumberFormat="1" applyFont="1" applyFill="1" applyBorder="1" applyAlignment="1">
      <alignment horizontal="right" vertical="center" indent="1"/>
    </xf>
    <xf numFmtId="171" fontId="25" fillId="0" borderId="148" xfId="198" applyNumberFormat="1" applyFont="1" applyFill="1" applyBorder="1" applyAlignment="1">
      <alignment horizontal="right" vertical="center" indent="1"/>
    </xf>
    <xf numFmtId="0" fontId="12" fillId="0" borderId="149" xfId="0" applyFont="1" applyFill="1" applyBorder="1" applyAlignment="1">
      <alignment horizontal="left" vertical="center" indent="2"/>
    </xf>
    <xf numFmtId="0" fontId="25" fillId="0" borderId="150" xfId="0" applyFont="1" applyBorder="1" applyAlignment="1">
      <alignment vertical="center"/>
    </xf>
    <xf numFmtId="171" fontId="25" fillId="0" borderId="151" xfId="198" applyNumberFormat="1" applyFont="1" applyFill="1" applyBorder="1" applyAlignment="1">
      <alignment horizontal="right" vertical="center" indent="1"/>
    </xf>
    <xf numFmtId="0" fontId="12" fillId="0" borderId="146" xfId="0" applyFont="1" applyFill="1" applyBorder="1" applyAlignment="1">
      <alignment horizontal="left" vertical="center" indent="3"/>
    </xf>
    <xf numFmtId="0" fontId="13" fillId="0" borderId="146" xfId="0" applyFont="1" applyFill="1" applyBorder="1" applyAlignment="1">
      <alignment horizontal="left" vertical="center" indent="1"/>
    </xf>
    <xf numFmtId="171" fontId="23" fillId="0" borderId="148" xfId="198" applyNumberFormat="1" applyFont="1" applyFill="1" applyBorder="1" applyAlignment="1">
      <alignment horizontal="center" vertical="center"/>
    </xf>
    <xf numFmtId="171" fontId="27" fillId="0" borderId="148" xfId="198" applyNumberFormat="1" applyFont="1" applyFill="1" applyBorder="1" applyAlignment="1">
      <alignment horizontal="center" vertical="center"/>
    </xf>
    <xf numFmtId="0" fontId="12" fillId="0" borderId="149" xfId="0" applyFont="1" applyFill="1" applyBorder="1" applyAlignment="1">
      <alignment horizontal="left" vertical="center" indent="3"/>
    </xf>
    <xf numFmtId="171" fontId="25" fillId="0" borderId="151" xfId="198" applyNumberFormat="1" applyFont="1" applyFill="1" applyBorder="1" applyAlignment="1">
      <alignment horizontal="center" vertical="center"/>
    </xf>
    <xf numFmtId="182" fontId="1" fillId="0" borderId="0" xfId="313" applyNumberFormat="1" applyFont="1"/>
    <xf numFmtId="0" fontId="32" fillId="3" borderId="5" xfId="0" applyFont="1" applyFill="1" applyBorder="1" applyAlignment="1">
      <alignment horizontal="center" vertical="center"/>
    </xf>
    <xf numFmtId="0" fontId="32" fillId="3" borderId="7" xfId="0" applyFont="1" applyFill="1" applyBorder="1" applyAlignment="1">
      <alignment horizontal="centerContinuous" vertical="center" wrapText="1"/>
    </xf>
    <xf numFmtId="0" fontId="32" fillId="3" borderId="61" xfId="210" applyFont="1" applyFill="1" applyBorder="1" applyAlignment="1">
      <alignment horizontal="center" vertical="center" wrapText="1"/>
    </xf>
    <xf numFmtId="0" fontId="32" fillId="3" borderId="62" xfId="210" applyFont="1" applyFill="1" applyBorder="1" applyAlignment="1">
      <alignment horizontal="center" vertical="center" wrapText="1"/>
    </xf>
    <xf numFmtId="0" fontId="32" fillId="3" borderId="90" xfId="210" applyFont="1" applyFill="1" applyBorder="1" applyAlignment="1">
      <alignment horizontal="center" vertical="center" wrapText="1"/>
    </xf>
    <xf numFmtId="0" fontId="32" fillId="3" borderId="63" xfId="210" applyFont="1" applyFill="1" applyBorder="1" applyAlignment="1">
      <alignment horizontal="center" vertical="center" wrapText="1"/>
    </xf>
    <xf numFmtId="0" fontId="32" fillId="3" borderId="87" xfId="0" applyFont="1" applyFill="1" applyBorder="1" applyAlignment="1">
      <alignment horizontal="centerContinuous" vertical="center"/>
    </xf>
    <xf numFmtId="0" fontId="32" fillId="3" borderId="88" xfId="0" applyFont="1" applyFill="1" applyBorder="1" applyAlignment="1">
      <alignment horizontal="centerContinuous" vertical="center"/>
    </xf>
    <xf numFmtId="0" fontId="32" fillId="3" borderId="89" xfId="0" applyFont="1" applyFill="1" applyBorder="1" applyAlignment="1">
      <alignment horizontal="centerContinuous" vertical="center"/>
    </xf>
    <xf numFmtId="0" fontId="12" fillId="0" borderId="152" xfId="0" applyFont="1" applyBorder="1" applyAlignment="1">
      <alignment horizontal="center" vertical="center"/>
    </xf>
    <xf numFmtId="3" fontId="0" fillId="0" borderId="153" xfId="0" applyNumberFormat="1" applyFont="1" applyFill="1" applyBorder="1" applyAlignment="1">
      <alignment vertical="center"/>
    </xf>
    <xf numFmtId="10" fontId="0" fillId="0" borderId="153" xfId="3" applyNumberFormat="1" applyFont="1" applyFill="1" applyBorder="1" applyAlignment="1">
      <alignment horizontal="center" vertical="center"/>
    </xf>
    <xf numFmtId="10" fontId="0" fillId="0" borderId="154" xfId="3" applyNumberFormat="1" applyFont="1" applyFill="1" applyBorder="1" applyAlignment="1">
      <alignment horizontal="center" vertical="center"/>
    </xf>
    <xf numFmtId="0" fontId="12" fillId="0" borderId="123" xfId="0" applyFont="1" applyBorder="1" applyAlignment="1">
      <alignment horizontal="center" vertical="center"/>
    </xf>
    <xf numFmtId="3" fontId="0" fillId="0" borderId="124" xfId="0" applyNumberFormat="1" applyFont="1" applyFill="1" applyBorder="1" applyAlignment="1">
      <alignment vertical="center"/>
    </xf>
    <xf numFmtId="10" fontId="0" fillId="0" borderId="124" xfId="3" applyNumberFormat="1" applyFont="1" applyFill="1" applyBorder="1" applyAlignment="1">
      <alignment horizontal="center" vertical="center"/>
    </xf>
    <xf numFmtId="10" fontId="0" fillId="0" borderId="125" xfId="3" applyNumberFormat="1" applyFont="1" applyFill="1" applyBorder="1" applyAlignment="1">
      <alignment horizontal="center" vertical="center"/>
    </xf>
    <xf numFmtId="0" fontId="12" fillId="0" borderId="126" xfId="0" applyFont="1" applyBorder="1" applyAlignment="1">
      <alignment horizontal="center" vertical="center"/>
    </xf>
    <xf numFmtId="3" fontId="0" fillId="0" borderId="127" xfId="0" applyNumberFormat="1" applyFont="1" applyFill="1" applyBorder="1" applyAlignment="1">
      <alignment vertical="center"/>
    </xf>
    <xf numFmtId="10" fontId="0" fillId="0" borderId="127" xfId="3" applyNumberFormat="1" applyFont="1" applyFill="1" applyBorder="1" applyAlignment="1">
      <alignment horizontal="center" vertical="center"/>
    </xf>
    <xf numFmtId="10" fontId="0" fillId="0" borderId="128" xfId="3" applyNumberFormat="1" applyFont="1" applyFill="1" applyBorder="1" applyAlignment="1">
      <alignment horizontal="center" vertical="center"/>
    </xf>
    <xf numFmtId="3" fontId="13" fillId="19" borderId="24" xfId="0" applyNumberFormat="1" applyFont="1" applyFill="1" applyBorder="1" applyAlignment="1">
      <alignment vertical="center"/>
    </xf>
    <xf numFmtId="10" fontId="13" fillId="19" borderId="24" xfId="3" applyNumberFormat="1" applyFont="1" applyFill="1" applyBorder="1" applyAlignment="1">
      <alignment horizontal="center" vertical="center"/>
    </xf>
    <xf numFmtId="10" fontId="13" fillId="19" borderId="17" xfId="3" applyNumberFormat="1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vertical="center"/>
    </xf>
    <xf numFmtId="0" fontId="12" fillId="0" borderId="155" xfId="0" applyFont="1" applyBorder="1" applyAlignment="1">
      <alignment horizontal="left" vertical="center" indent="1"/>
    </xf>
    <xf numFmtId="0" fontId="0" fillId="0" borderId="156" xfId="0" applyBorder="1" applyAlignment="1">
      <alignment vertical="center"/>
    </xf>
    <xf numFmtId="182" fontId="0" fillId="0" borderId="154" xfId="8" applyNumberFormat="1" applyFont="1" applyBorder="1" applyAlignment="1">
      <alignment vertical="center"/>
    </xf>
    <xf numFmtId="0" fontId="12" fillId="0" borderId="146" xfId="0" applyFont="1" applyBorder="1" applyAlignment="1">
      <alignment horizontal="left" vertical="center" indent="1"/>
    </xf>
    <xf numFmtId="0" fontId="0" fillId="0" borderId="147" xfId="0" applyBorder="1" applyAlignment="1">
      <alignment vertical="center"/>
    </xf>
    <xf numFmtId="182" fontId="0" fillId="0" borderId="125" xfId="8" applyNumberFormat="1" applyFont="1" applyBorder="1" applyAlignment="1">
      <alignment vertical="center"/>
    </xf>
    <xf numFmtId="9" fontId="0" fillId="0" borderId="125" xfId="0" applyNumberFormat="1" applyBorder="1" applyAlignment="1">
      <alignment horizontal="right" vertical="center" indent="2"/>
    </xf>
    <xf numFmtId="0" fontId="12" fillId="0" borderId="149" xfId="0" applyFont="1" applyBorder="1" applyAlignment="1">
      <alignment horizontal="left" vertical="center" indent="1"/>
    </xf>
    <xf numFmtId="0" fontId="0" fillId="0" borderId="150" xfId="0" applyBorder="1" applyAlignment="1">
      <alignment vertical="center"/>
    </xf>
    <xf numFmtId="182" fontId="0" fillId="0" borderId="128" xfId="8" applyNumberFormat="1" applyFont="1" applyBorder="1" applyAlignment="1">
      <alignment vertical="center"/>
    </xf>
    <xf numFmtId="181" fontId="0" fillId="54" borderId="121" xfId="0" applyNumberFormat="1" applyFill="1" applyBorder="1" applyAlignment="1">
      <alignment vertical="center"/>
    </xf>
    <xf numFmtId="181" fontId="0" fillId="54" borderId="122" xfId="0" applyNumberFormat="1" applyFill="1" applyBorder="1" applyAlignment="1">
      <alignment vertical="center"/>
    </xf>
    <xf numFmtId="169" fontId="0" fillId="0" borderId="125" xfId="3" applyNumberFormat="1" applyFont="1" applyBorder="1" applyAlignment="1">
      <alignment horizontal="right" vertical="center"/>
    </xf>
    <xf numFmtId="182" fontId="0" fillId="0" borderId="140" xfId="8" applyNumberFormat="1" applyFont="1" applyBorder="1" applyAlignment="1">
      <alignment vertical="center"/>
    </xf>
    <xf numFmtId="169" fontId="0" fillId="0" borderId="141" xfId="3" applyNumberFormat="1" applyFont="1" applyBorder="1" applyAlignment="1">
      <alignment horizontal="right" vertical="center"/>
    </xf>
    <xf numFmtId="182" fontId="13" fillId="19" borderId="93" xfId="8" applyNumberFormat="1" applyFont="1" applyFill="1" applyBorder="1" applyAlignment="1">
      <alignment vertical="center"/>
    </xf>
    <xf numFmtId="169" fontId="13" fillId="19" borderId="83" xfId="3" applyNumberFormat="1" applyFont="1" applyFill="1" applyBorder="1" applyAlignment="1">
      <alignment horizontal="right" vertical="center"/>
    </xf>
    <xf numFmtId="175" fontId="0" fillId="0" borderId="124" xfId="8" applyNumberFormat="1" applyFont="1" applyBorder="1" applyAlignment="1">
      <alignment vertical="center"/>
    </xf>
    <xf numFmtId="175" fontId="0" fillId="0" borderId="125" xfId="8" applyNumberFormat="1" applyFont="1" applyBorder="1" applyAlignment="1">
      <alignment vertical="center"/>
    </xf>
    <xf numFmtId="175" fontId="0" fillId="0" borderId="127" xfId="8" applyNumberFormat="1" applyFont="1" applyBorder="1" applyAlignment="1">
      <alignment vertical="center"/>
    </xf>
    <xf numFmtId="175" fontId="0" fillId="0" borderId="128" xfId="8" applyNumberFormat="1" applyFont="1" applyBorder="1" applyAlignment="1">
      <alignment vertical="center"/>
    </xf>
    <xf numFmtId="181" fontId="1" fillId="0" borderId="21" xfId="315" applyNumberFormat="1" applyFont="1" applyBorder="1" applyAlignment="1">
      <alignment vertical="center"/>
    </xf>
    <xf numFmtId="181" fontId="1" fillId="0" borderId="13" xfId="315" applyNumberFormat="1" applyFont="1" applyBorder="1" applyAlignment="1">
      <alignment vertical="center"/>
    </xf>
    <xf numFmtId="0" fontId="1" fillId="0" borderId="59" xfId="0" applyFont="1" applyBorder="1" applyAlignment="1">
      <alignment horizontal="left" vertical="center" indent="1"/>
    </xf>
    <xf numFmtId="168" fontId="0" fillId="0" borderId="130" xfId="1" applyNumberFormat="1" applyFont="1" applyBorder="1" applyAlignment="1">
      <alignment horizontal="center" vertical="center"/>
    </xf>
    <xf numFmtId="168" fontId="0" fillId="0" borderId="69" xfId="1" applyNumberFormat="1" applyFont="1" applyBorder="1" applyAlignment="1">
      <alignment horizontal="center" vertical="center"/>
    </xf>
    <xf numFmtId="0" fontId="12" fillId="0" borderId="98" xfId="0" applyFont="1" applyBorder="1" applyAlignment="1">
      <alignment horizontal="left" vertical="center" indent="1"/>
    </xf>
    <xf numFmtId="172" fontId="22" fillId="51" borderId="57" xfId="315" applyNumberFormat="1" applyFont="1" applyFill="1" applyBorder="1" applyAlignment="1">
      <alignment horizontal="center" vertical="center" wrapText="1"/>
    </xf>
    <xf numFmtId="172" fontId="22" fillId="51" borderId="129" xfId="315" applyNumberFormat="1" applyFont="1" applyFill="1" applyBorder="1" applyAlignment="1">
      <alignment horizontal="center" vertical="center" wrapText="1"/>
    </xf>
    <xf numFmtId="0" fontId="12" fillId="0" borderId="32" xfId="0" applyFont="1" applyBorder="1" applyAlignment="1">
      <alignment horizontal="left" vertical="center" indent="1"/>
    </xf>
    <xf numFmtId="178" fontId="4" fillId="0" borderId="127" xfId="8" applyNumberFormat="1" applyFont="1" applyFill="1" applyBorder="1" applyAlignment="1">
      <alignment vertical="center"/>
    </xf>
    <xf numFmtId="10" fontId="4" fillId="0" borderId="18" xfId="3" applyNumberFormat="1" applyFont="1" applyFill="1" applyBorder="1" applyAlignment="1">
      <alignment vertical="center"/>
    </xf>
    <xf numFmtId="178" fontId="4" fillId="55" borderId="121" xfId="8" applyNumberFormat="1" applyFont="1" applyFill="1" applyBorder="1" applyAlignment="1">
      <alignment vertical="center"/>
    </xf>
    <xf numFmtId="0" fontId="1" fillId="0" borderId="58" xfId="313" applyFont="1" applyBorder="1" applyAlignment="1">
      <alignment horizontal="left" vertical="center" indent="1"/>
    </xf>
    <xf numFmtId="0" fontId="1" fillId="0" borderId="59" xfId="313" applyFont="1" applyBorder="1" applyAlignment="1">
      <alignment horizontal="left" vertical="center" indent="1"/>
    </xf>
    <xf numFmtId="182" fontId="0" fillId="0" borderId="93" xfId="8" applyNumberFormat="1" applyFont="1" applyBorder="1" applyAlignment="1">
      <alignment vertical="center"/>
    </xf>
    <xf numFmtId="169" fontId="0" fillId="0" borderId="141" xfId="3" applyNumberFormat="1" applyFont="1" applyBorder="1" applyAlignment="1">
      <alignment horizontal="right" vertical="center" indent="1"/>
    </xf>
    <xf numFmtId="169" fontId="0" fillId="0" borderId="83" xfId="3" applyNumberFormat="1" applyFont="1" applyBorder="1" applyAlignment="1">
      <alignment horizontal="right" vertical="center" indent="1"/>
    </xf>
    <xf numFmtId="182" fontId="0" fillId="0" borderId="0" xfId="0" applyNumberFormat="1" applyAlignment="1">
      <alignment vertical="center"/>
    </xf>
    <xf numFmtId="171" fontId="13" fillId="0" borderId="0" xfId="0" applyNumberFormat="1" applyFont="1" applyAlignment="1">
      <alignment vertical="center"/>
    </xf>
    <xf numFmtId="189" fontId="1" fillId="0" borderId="21" xfId="8" applyNumberFormat="1" applyFont="1" applyBorder="1" applyAlignment="1">
      <alignment vertical="center"/>
    </xf>
    <xf numFmtId="189" fontId="1" fillId="0" borderId="13" xfId="8" applyNumberFormat="1" applyFont="1" applyBorder="1" applyAlignment="1">
      <alignment vertical="center"/>
    </xf>
    <xf numFmtId="189" fontId="23" fillId="19" borderId="38" xfId="8" applyNumberFormat="1" applyFont="1" applyFill="1" applyBorder="1" applyAlignment="1">
      <alignment vertical="center"/>
    </xf>
    <xf numFmtId="189" fontId="23" fillId="19" borderId="29" xfId="8" applyNumberFormat="1" applyFont="1" applyFill="1" applyBorder="1" applyAlignment="1">
      <alignment vertical="center"/>
    </xf>
    <xf numFmtId="189" fontId="1" fillId="0" borderId="133" xfId="8" applyNumberFormat="1" applyFont="1" applyBorder="1" applyAlignment="1">
      <alignment vertical="center"/>
    </xf>
    <xf numFmtId="181" fontId="4" fillId="0" borderId="124" xfId="8" applyNumberFormat="1" applyFont="1" applyBorder="1" applyAlignment="1">
      <alignment vertical="center"/>
    </xf>
    <xf numFmtId="181" fontId="4" fillId="0" borderId="121" xfId="8" applyNumberFormat="1" applyFont="1" applyBorder="1" applyAlignment="1">
      <alignment vertical="center"/>
    </xf>
    <xf numFmtId="181" fontId="4" fillId="54" borderId="121" xfId="8" applyNumberFormat="1" applyFont="1" applyFill="1" applyBorder="1" applyAlignment="1">
      <alignment vertical="center"/>
    </xf>
    <xf numFmtId="181" fontId="4" fillId="54" borderId="122" xfId="8" applyNumberFormat="1" applyFont="1" applyFill="1" applyBorder="1" applyAlignment="1">
      <alignment vertical="center"/>
    </xf>
    <xf numFmtId="181" fontId="4" fillId="0" borderId="125" xfId="8" applyNumberFormat="1" applyFont="1" applyBorder="1" applyAlignment="1">
      <alignment vertical="center"/>
    </xf>
    <xf numFmtId="181" fontId="4" fillId="0" borderId="127" xfId="8" applyNumberFormat="1" applyFont="1" applyBorder="1" applyAlignment="1">
      <alignment vertical="center"/>
    </xf>
    <xf numFmtId="181" fontId="4" fillId="0" borderId="128" xfId="8" applyNumberFormat="1" applyFont="1" applyBorder="1" applyAlignment="1">
      <alignment vertical="center"/>
    </xf>
    <xf numFmtId="184" fontId="0" fillId="0" borderId="0" xfId="3" applyNumberFormat="1" applyFont="1"/>
    <xf numFmtId="172" fontId="4" fillId="0" borderId="0" xfId="8" applyNumberFormat="1" applyFont="1" applyFill="1" applyBorder="1" applyAlignment="1">
      <alignment vertical="center"/>
    </xf>
    <xf numFmtId="0" fontId="4" fillId="0" borderId="84" xfId="0" applyFont="1" applyFill="1" applyBorder="1" applyAlignment="1">
      <alignment horizontal="center" vertical="center"/>
    </xf>
    <xf numFmtId="172" fontId="4" fillId="0" borderId="64" xfId="8" applyNumberFormat="1" applyFont="1" applyFill="1" applyBorder="1" applyAlignment="1">
      <alignment vertical="center"/>
    </xf>
    <xf numFmtId="181" fontId="4" fillId="0" borderId="42" xfId="8" applyNumberFormat="1" applyFont="1" applyBorder="1" applyAlignment="1">
      <alignment vertical="center"/>
    </xf>
    <xf numFmtId="181" fontId="4" fillId="0" borderId="22" xfId="8" applyNumberFormat="1" applyFont="1" applyFill="1" applyBorder="1" applyAlignment="1">
      <alignment vertical="center"/>
    </xf>
    <xf numFmtId="181" fontId="4" fillId="0" borderId="14" xfId="8" applyNumberFormat="1" applyFont="1" applyFill="1" applyBorder="1" applyAlignment="1">
      <alignment vertical="center"/>
    </xf>
    <xf numFmtId="189" fontId="1" fillId="0" borderId="52" xfId="8" applyNumberFormat="1" applyFont="1" applyBorder="1" applyAlignment="1">
      <alignment vertical="center"/>
    </xf>
    <xf numFmtId="189" fontId="1" fillId="0" borderId="137" xfId="8" applyNumberFormat="1" applyFont="1" applyBorder="1" applyAlignment="1">
      <alignment vertical="center"/>
    </xf>
    <xf numFmtId="189" fontId="23" fillId="19" borderId="106" xfId="8" applyNumberFormat="1" applyFont="1" applyFill="1" applyBorder="1" applyAlignment="1">
      <alignment vertical="center"/>
    </xf>
    <xf numFmtId="190" fontId="4" fillId="0" borderId="125" xfId="8" applyNumberFormat="1" applyFont="1" applyBorder="1" applyAlignment="1">
      <alignment vertical="center"/>
    </xf>
    <xf numFmtId="181" fontId="0" fillId="0" borderId="98" xfId="0" applyNumberFormat="1" applyFill="1" applyBorder="1"/>
    <xf numFmtId="181" fontId="0" fillId="0" borderId="22" xfId="0" applyNumberFormat="1" applyFill="1" applyBorder="1"/>
    <xf numFmtId="178" fontId="4" fillId="0" borderId="124" xfId="8" applyNumberFormat="1" applyFont="1" applyFill="1" applyBorder="1" applyAlignment="1">
      <alignment vertical="center"/>
    </xf>
    <xf numFmtId="181" fontId="0" fillId="0" borderId="23" xfId="0" applyNumberFormat="1" applyFill="1" applyBorder="1"/>
    <xf numFmtId="181" fontId="0" fillId="0" borderId="15" xfId="0" applyNumberFormat="1" applyBorder="1"/>
    <xf numFmtId="182" fontId="13" fillId="0" borderId="37" xfId="8" applyNumberFormat="1" applyFont="1" applyFill="1" applyBorder="1" applyAlignment="1">
      <alignment vertical="center"/>
    </xf>
    <xf numFmtId="182" fontId="13" fillId="0" borderId="70" xfId="8" applyNumberFormat="1" applyFont="1" applyBorder="1" applyAlignment="1">
      <alignment vertical="center"/>
    </xf>
    <xf numFmtId="182" fontId="13" fillId="0" borderId="14" xfId="8" applyNumberFormat="1" applyFont="1" applyBorder="1" applyAlignment="1">
      <alignment vertical="center"/>
    </xf>
    <xf numFmtId="182" fontId="13" fillId="0" borderId="43" xfId="8" applyNumberFormat="1" applyFont="1" applyBorder="1" applyAlignment="1">
      <alignment vertical="center"/>
    </xf>
    <xf numFmtId="182" fontId="13" fillId="0" borderId="44" xfId="8" applyNumberFormat="1" applyFont="1" applyBorder="1" applyAlignment="1">
      <alignment vertical="center"/>
    </xf>
    <xf numFmtId="182" fontId="0" fillId="0" borderId="32" xfId="8" applyNumberFormat="1" applyFont="1" applyFill="1" applyBorder="1" applyAlignment="1">
      <alignment vertical="center"/>
    </xf>
    <xf numFmtId="182" fontId="0" fillId="0" borderId="97" xfId="8" applyNumberFormat="1" applyFont="1" applyFill="1" applyBorder="1" applyAlignment="1">
      <alignment vertical="center"/>
    </xf>
    <xf numFmtId="182" fontId="0" fillId="0" borderId="98" xfId="8" applyNumberFormat="1" applyFont="1" applyFill="1" applyBorder="1" applyAlignment="1">
      <alignment vertical="center"/>
    </xf>
    <xf numFmtId="182" fontId="0" fillId="0" borderId="41" xfId="8" applyNumberFormat="1" applyFont="1" applyFill="1" applyBorder="1" applyAlignment="1">
      <alignment vertical="center"/>
    </xf>
    <xf numFmtId="182" fontId="0" fillId="0" borderId="22" xfId="8" applyNumberFormat="1" applyFont="1" applyFill="1" applyBorder="1" applyAlignment="1">
      <alignment vertical="center"/>
    </xf>
    <xf numFmtId="182" fontId="0" fillId="0" borderId="42" xfId="8" applyNumberFormat="1" applyFont="1" applyFill="1" applyBorder="1" applyAlignment="1">
      <alignment vertical="center"/>
    </xf>
    <xf numFmtId="182" fontId="0" fillId="0" borderId="23" xfId="8" applyNumberFormat="1" applyFont="1" applyFill="1" applyBorder="1" applyAlignment="1">
      <alignment vertical="center"/>
    </xf>
    <xf numFmtId="182" fontId="0" fillId="0" borderId="22" xfId="198" applyNumberFormat="1" applyFont="1" applyBorder="1" applyAlignment="1">
      <alignment vertical="center"/>
    </xf>
    <xf numFmtId="182" fontId="0" fillId="0" borderId="13" xfId="198" applyNumberFormat="1" applyFont="1" applyBorder="1" applyAlignment="1">
      <alignment vertical="center"/>
    </xf>
    <xf numFmtId="182" fontId="0" fillId="0" borderId="14" xfId="198" applyNumberFormat="1" applyFont="1" applyBorder="1" applyAlignment="1">
      <alignment vertical="center"/>
    </xf>
    <xf numFmtId="182" fontId="0" fillId="0" borderId="23" xfId="198" applyNumberFormat="1" applyFont="1" applyBorder="1" applyAlignment="1">
      <alignment vertical="center"/>
    </xf>
    <xf numFmtId="182" fontId="0" fillId="0" borderId="15" xfId="198" applyNumberFormat="1" applyFont="1" applyBorder="1" applyAlignment="1">
      <alignment vertical="center"/>
    </xf>
    <xf numFmtId="182" fontId="13" fillId="0" borderId="0" xfId="198" applyNumberFormat="1" applyFont="1" applyAlignment="1">
      <alignment vertical="center"/>
    </xf>
    <xf numFmtId="182" fontId="0" fillId="0" borderId="0" xfId="198" applyNumberFormat="1" applyFont="1" applyAlignment="1">
      <alignment vertical="center"/>
    </xf>
    <xf numFmtId="182" fontId="13" fillId="19" borderId="20" xfId="198" applyNumberFormat="1" applyFont="1" applyFill="1" applyBorder="1" applyAlignment="1">
      <alignment vertical="center"/>
    </xf>
    <xf numFmtId="182" fontId="13" fillId="19" borderId="17" xfId="198" applyNumberFormat="1" applyFont="1" applyFill="1" applyBorder="1" applyAlignment="1">
      <alignment vertical="center"/>
    </xf>
    <xf numFmtId="169" fontId="0" fillId="0" borderId="18" xfId="3" applyNumberFormat="1" applyFont="1" applyFill="1" applyBorder="1" applyAlignment="1">
      <alignment horizontal="right" vertical="center" indent="1"/>
    </xf>
    <xf numFmtId="169" fontId="0" fillId="0" borderId="14" xfId="3" applyNumberFormat="1" applyFont="1" applyFill="1" applyBorder="1" applyAlignment="1">
      <alignment horizontal="right" vertical="center" indent="1"/>
    </xf>
    <xf numFmtId="169" fontId="0" fillId="0" borderId="19" xfId="3" applyNumberFormat="1" applyFont="1" applyFill="1" applyBorder="1" applyAlignment="1">
      <alignment horizontal="right" vertical="center" indent="1"/>
    </xf>
    <xf numFmtId="169" fontId="0" fillId="0" borderId="15" xfId="3" applyNumberFormat="1" applyFont="1" applyFill="1" applyBorder="1" applyAlignment="1">
      <alignment horizontal="right" vertical="center" indent="1"/>
    </xf>
    <xf numFmtId="169" fontId="20" fillId="0" borderId="0" xfId="0" applyNumberFormat="1" applyFont="1" applyAlignment="1">
      <alignment vertical="center"/>
    </xf>
    <xf numFmtId="3" fontId="12" fillId="0" borderId="0" xfId="0" applyNumberFormat="1" applyFont="1" applyAlignment="1">
      <alignment vertical="center"/>
    </xf>
    <xf numFmtId="188" fontId="1" fillId="0" borderId="21" xfId="8" applyNumberFormat="1" applyFont="1" applyBorder="1" applyAlignment="1">
      <alignment vertical="center"/>
    </xf>
    <xf numFmtId="188" fontId="1" fillId="0" borderId="13" xfId="8" applyNumberFormat="1" applyFont="1" applyBorder="1" applyAlignment="1">
      <alignment vertical="center"/>
    </xf>
    <xf numFmtId="188" fontId="1" fillId="0" borderId="133" xfId="8" applyNumberFormat="1" applyFont="1" applyBorder="1" applyAlignment="1">
      <alignment vertical="center"/>
    </xf>
    <xf numFmtId="188" fontId="1" fillId="0" borderId="138" xfId="8" applyNumberFormat="1" applyFont="1" applyBorder="1" applyAlignment="1">
      <alignment vertical="center"/>
    </xf>
    <xf numFmtId="188" fontId="23" fillId="19" borderId="38" xfId="8" applyNumberFormat="1" applyFont="1" applyFill="1" applyBorder="1" applyAlignment="1">
      <alignment vertical="center"/>
    </xf>
    <xf numFmtId="188" fontId="23" fillId="19" borderId="29" xfId="8" applyNumberFormat="1" applyFont="1" applyFill="1" applyBorder="1" applyAlignment="1">
      <alignment vertical="center"/>
    </xf>
    <xf numFmtId="184" fontId="1" fillId="0" borderId="0" xfId="313" applyNumberFormat="1" applyFont="1"/>
    <xf numFmtId="9" fontId="13" fillId="0" borderId="0" xfId="3" applyFont="1" applyAlignment="1">
      <alignment vertical="center"/>
    </xf>
    <xf numFmtId="168" fontId="12" fillId="0" borderId="130" xfId="1" applyNumberFormat="1" applyFont="1" applyBorder="1" applyAlignment="1">
      <alignment horizontal="center" vertical="center"/>
    </xf>
    <xf numFmtId="168" fontId="0" fillId="0" borderId="130" xfId="1" applyNumberFormat="1" applyFont="1" applyBorder="1" applyAlignment="1">
      <alignment horizontal="center" vertical="center"/>
    </xf>
    <xf numFmtId="168" fontId="0" fillId="0" borderId="27" xfId="1" applyNumberFormat="1" applyFont="1" applyBorder="1" applyAlignment="1">
      <alignment horizontal="center" vertical="center"/>
    </xf>
    <xf numFmtId="0" fontId="15" fillId="3" borderId="95" xfId="0" applyFont="1" applyFill="1" applyBorder="1" applyAlignment="1">
      <alignment horizontal="left" vertical="center" wrapText="1" indent="1"/>
    </xf>
    <xf numFmtId="0" fontId="15" fillId="3" borderId="117" xfId="0" applyFont="1" applyFill="1" applyBorder="1" applyAlignment="1">
      <alignment horizontal="left" vertical="center" wrapText="1" indent="1"/>
    </xf>
    <xf numFmtId="0" fontId="15" fillId="3" borderId="49" xfId="0" applyFont="1" applyFill="1" applyBorder="1" applyAlignment="1">
      <alignment horizontal="left" vertical="center" wrapText="1" indent="1"/>
    </xf>
    <xf numFmtId="0" fontId="15" fillId="3" borderId="119" xfId="0" applyFont="1" applyFill="1" applyBorder="1" applyAlignment="1">
      <alignment horizontal="left" vertical="center" wrapText="1" indent="1"/>
    </xf>
    <xf numFmtId="0" fontId="15" fillId="3" borderId="45" xfId="0" applyFont="1" applyFill="1" applyBorder="1" applyAlignment="1">
      <alignment horizontal="center" vertical="center" wrapText="1"/>
    </xf>
    <xf numFmtId="0" fontId="15" fillId="3" borderId="46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47" xfId="0" applyFont="1" applyFill="1" applyBorder="1" applyAlignment="1">
      <alignment horizontal="center" vertical="center"/>
    </xf>
    <xf numFmtId="0" fontId="15" fillId="3" borderId="48" xfId="0" applyFont="1" applyFill="1" applyBorder="1" applyAlignment="1">
      <alignment horizontal="center" vertical="center"/>
    </xf>
    <xf numFmtId="0" fontId="15" fillId="3" borderId="45" xfId="0" applyFont="1" applyFill="1" applyBorder="1" applyAlignment="1">
      <alignment horizontal="center" vertical="center"/>
    </xf>
    <xf numFmtId="0" fontId="15" fillId="3" borderId="46" xfId="0" applyFont="1" applyFill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5" fillId="0" borderId="69" xfId="0" applyNumberFormat="1" applyFont="1" applyBorder="1" applyAlignment="1">
      <alignment horizontal="center" vertical="center"/>
    </xf>
    <xf numFmtId="4" fontId="5" fillId="0" borderId="58" xfId="0" applyNumberFormat="1" applyFont="1" applyBorder="1" applyAlignment="1">
      <alignment horizontal="center" vertical="center"/>
    </xf>
    <xf numFmtId="4" fontId="5" fillId="0" borderId="59" xfId="0" applyNumberFormat="1" applyFont="1" applyBorder="1" applyAlignment="1">
      <alignment horizontal="center" vertical="center"/>
    </xf>
    <xf numFmtId="0" fontId="59" fillId="0" borderId="0" xfId="0" applyFont="1" applyAlignment="1">
      <alignment horizontal="left" vertical="center" wrapText="1"/>
    </xf>
    <xf numFmtId="4" fontId="4" fillId="0" borderId="25" xfId="0" applyNumberFormat="1" applyFont="1" applyBorder="1" applyAlignment="1">
      <alignment horizontal="center" vertical="center"/>
    </xf>
    <xf numFmtId="4" fontId="4" fillId="0" borderId="58" xfId="0" applyNumberFormat="1" applyFont="1" applyBorder="1" applyAlignment="1">
      <alignment horizontal="center" vertical="center"/>
    </xf>
    <xf numFmtId="4" fontId="4" fillId="0" borderId="69" xfId="0" applyNumberFormat="1" applyFont="1" applyBorder="1" applyAlignment="1">
      <alignment horizontal="center" vertical="center"/>
    </xf>
    <xf numFmtId="4" fontId="4" fillId="0" borderId="59" xfId="0" applyNumberFormat="1" applyFont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 wrapText="1"/>
    </xf>
    <xf numFmtId="0" fontId="22" fillId="2" borderId="68" xfId="0" applyFont="1" applyFill="1" applyBorder="1" applyAlignment="1">
      <alignment horizontal="center" vertical="center" wrapText="1"/>
    </xf>
    <xf numFmtId="0" fontId="32" fillId="51" borderId="57" xfId="0" applyFont="1" applyFill="1" applyBorder="1" applyAlignment="1">
      <alignment horizontal="center" vertical="center" wrapText="1"/>
    </xf>
    <xf numFmtId="0" fontId="32" fillId="51" borderId="114" xfId="0" applyFont="1" applyFill="1" applyBorder="1" applyAlignment="1">
      <alignment horizontal="center" vertical="center" wrapText="1"/>
    </xf>
    <xf numFmtId="0" fontId="32" fillId="2" borderId="87" xfId="0" applyFont="1" applyFill="1" applyBorder="1" applyAlignment="1">
      <alignment vertical="center" wrapText="1"/>
    </xf>
    <xf numFmtId="0" fontId="32" fillId="2" borderId="88" xfId="0" applyFont="1" applyFill="1" applyBorder="1" applyAlignment="1">
      <alignment vertical="center" wrapText="1"/>
    </xf>
    <xf numFmtId="0" fontId="32" fillId="2" borderId="89" xfId="0" applyFont="1" applyFill="1" applyBorder="1" applyAlignment="1">
      <alignment vertical="center" wrapText="1"/>
    </xf>
    <xf numFmtId="0" fontId="32" fillId="2" borderId="118" xfId="0" applyFont="1" applyFill="1" applyBorder="1" applyAlignment="1">
      <alignment horizontal="left" vertical="center" wrapText="1"/>
    </xf>
    <xf numFmtId="0" fontId="32" fillId="2" borderId="142" xfId="0" applyFont="1" applyFill="1" applyBorder="1" applyAlignment="1">
      <alignment horizontal="left" vertical="center" wrapText="1"/>
    </xf>
    <xf numFmtId="0" fontId="32" fillId="2" borderId="65" xfId="0" applyFont="1" applyFill="1" applyBorder="1" applyAlignment="1">
      <alignment horizontal="left" vertical="center" wrapText="1"/>
    </xf>
    <xf numFmtId="0" fontId="32" fillId="2" borderId="109" xfId="0" applyFont="1" applyFill="1" applyBorder="1" applyAlignment="1">
      <alignment vertical="center" wrapText="1"/>
    </xf>
    <xf numFmtId="0" fontId="32" fillId="2" borderId="110" xfId="0" applyFont="1" applyFill="1" applyBorder="1" applyAlignment="1">
      <alignment vertical="center" wrapText="1"/>
    </xf>
    <xf numFmtId="0" fontId="32" fillId="2" borderId="111" xfId="0" applyFont="1" applyFill="1" applyBorder="1" applyAlignment="1">
      <alignment vertical="center" wrapText="1"/>
    </xf>
    <xf numFmtId="0" fontId="32" fillId="2" borderId="84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left" vertical="center" wrapText="1"/>
    </xf>
    <xf numFmtId="0" fontId="32" fillId="2" borderId="64" xfId="0" applyFont="1" applyFill="1" applyBorder="1" applyAlignment="1">
      <alignment horizontal="left" vertical="center" wrapText="1"/>
    </xf>
    <xf numFmtId="172" fontId="22" fillId="51" borderId="49" xfId="8" applyNumberFormat="1" applyFont="1" applyFill="1" applyBorder="1" applyAlignment="1">
      <alignment horizontal="center" vertical="center" wrapText="1"/>
    </xf>
    <xf numFmtId="172" fontId="22" fillId="51" borderId="50" xfId="8" applyNumberFormat="1" applyFont="1" applyFill="1" applyBorder="1" applyAlignment="1">
      <alignment horizontal="center" vertical="center" wrapText="1"/>
    </xf>
    <xf numFmtId="172" fontId="22" fillId="51" borderId="129" xfId="8" applyNumberFormat="1" applyFont="1" applyFill="1" applyBorder="1" applyAlignment="1">
      <alignment horizontal="center" vertical="center" wrapText="1"/>
    </xf>
    <xf numFmtId="172" fontId="22" fillId="51" borderId="116" xfId="8" applyNumberFormat="1" applyFont="1" applyFill="1" applyBorder="1" applyAlignment="1">
      <alignment horizontal="center" vertical="center" wrapText="1"/>
    </xf>
    <xf numFmtId="172" fontId="22" fillId="51" borderId="57" xfId="8" applyNumberFormat="1" applyFont="1" applyFill="1" applyBorder="1" applyAlignment="1">
      <alignment horizontal="center" vertical="center" wrapText="1"/>
    </xf>
    <xf numFmtId="172" fontId="22" fillId="51" borderId="114" xfId="8" applyNumberFormat="1" applyFont="1" applyFill="1" applyBorder="1" applyAlignment="1">
      <alignment horizontal="center" vertical="center" wrapText="1"/>
    </xf>
    <xf numFmtId="172" fontId="22" fillId="51" borderId="49" xfId="315" applyNumberFormat="1" applyFont="1" applyFill="1" applyBorder="1" applyAlignment="1">
      <alignment horizontal="center" vertical="center" wrapText="1"/>
    </xf>
    <xf numFmtId="172" fontId="22" fillId="51" borderId="50" xfId="315" applyNumberFormat="1" applyFont="1" applyFill="1" applyBorder="1" applyAlignment="1">
      <alignment horizontal="center" vertical="center" wrapText="1"/>
    </xf>
    <xf numFmtId="172" fontId="22" fillId="51" borderId="16" xfId="315" applyNumberFormat="1" applyFont="1" applyFill="1" applyBorder="1" applyAlignment="1">
      <alignment horizontal="center" vertical="center" wrapText="1"/>
    </xf>
    <xf numFmtId="172" fontId="22" fillId="51" borderId="134" xfId="315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23" fillId="0" borderId="142" xfId="0" applyFont="1" applyBorder="1" applyAlignment="1">
      <alignment horizontal="left" wrapText="1"/>
    </xf>
  </cellXfs>
  <cellStyles count="317">
    <cellStyle name="20% - Accent1" xfId="246" xr:uid="{00000000-0005-0000-0000-000000000000}"/>
    <cellStyle name="20% - Accent2" xfId="247" xr:uid="{00000000-0005-0000-0000-000001000000}"/>
    <cellStyle name="20% - Accent3" xfId="248" xr:uid="{00000000-0005-0000-0000-000002000000}"/>
    <cellStyle name="20% - Accent4" xfId="249" xr:uid="{00000000-0005-0000-0000-000003000000}"/>
    <cellStyle name="20% - Accent5" xfId="250" xr:uid="{00000000-0005-0000-0000-000004000000}"/>
    <cellStyle name="20% - Accent6" xfId="251" xr:uid="{00000000-0005-0000-0000-000005000000}"/>
    <cellStyle name="20% - Énfasis1 10" xfId="12" xr:uid="{00000000-0005-0000-0000-000006000000}"/>
    <cellStyle name="20% - Énfasis1 11" xfId="13" xr:uid="{00000000-0005-0000-0000-000007000000}"/>
    <cellStyle name="20% - Énfasis1 12" xfId="14" xr:uid="{00000000-0005-0000-0000-000008000000}"/>
    <cellStyle name="20% - Énfasis1 13" xfId="15" xr:uid="{00000000-0005-0000-0000-000009000000}"/>
    <cellStyle name="20% - Énfasis1 14" xfId="16" xr:uid="{00000000-0005-0000-0000-00000A000000}"/>
    <cellStyle name="20% - Énfasis1 15" xfId="17" xr:uid="{00000000-0005-0000-0000-00000B000000}"/>
    <cellStyle name="20% - Énfasis1 16" xfId="18" xr:uid="{00000000-0005-0000-0000-00000C000000}"/>
    <cellStyle name="20% - Énfasis1 2" xfId="19" xr:uid="{00000000-0005-0000-0000-00000D000000}"/>
    <cellStyle name="20% - Énfasis1 3" xfId="20" xr:uid="{00000000-0005-0000-0000-00000E000000}"/>
    <cellStyle name="20% - Énfasis1 4" xfId="21" xr:uid="{00000000-0005-0000-0000-00000F000000}"/>
    <cellStyle name="20% - Énfasis1 5" xfId="22" xr:uid="{00000000-0005-0000-0000-000010000000}"/>
    <cellStyle name="20% - Énfasis1 6" xfId="23" xr:uid="{00000000-0005-0000-0000-000011000000}"/>
    <cellStyle name="20% - Énfasis1 7" xfId="24" xr:uid="{00000000-0005-0000-0000-000012000000}"/>
    <cellStyle name="20% - Énfasis1 8" xfId="25" xr:uid="{00000000-0005-0000-0000-000013000000}"/>
    <cellStyle name="20% - Énfasis1 9" xfId="26" xr:uid="{00000000-0005-0000-0000-000014000000}"/>
    <cellStyle name="20% - Énfasis2 10" xfId="27" xr:uid="{00000000-0005-0000-0000-000015000000}"/>
    <cellStyle name="20% - Énfasis2 11" xfId="28" xr:uid="{00000000-0005-0000-0000-000016000000}"/>
    <cellStyle name="20% - Énfasis2 12" xfId="29" xr:uid="{00000000-0005-0000-0000-000017000000}"/>
    <cellStyle name="20% - Énfasis2 13" xfId="30" xr:uid="{00000000-0005-0000-0000-000018000000}"/>
    <cellStyle name="20% - Énfasis2 14" xfId="31" xr:uid="{00000000-0005-0000-0000-000019000000}"/>
    <cellStyle name="20% - Énfasis2 15" xfId="32" xr:uid="{00000000-0005-0000-0000-00001A000000}"/>
    <cellStyle name="20% - Énfasis2 16" xfId="33" xr:uid="{00000000-0005-0000-0000-00001B000000}"/>
    <cellStyle name="20% - Énfasis2 2" xfId="34" xr:uid="{00000000-0005-0000-0000-00001C000000}"/>
    <cellStyle name="20% - Énfasis2 3" xfId="35" xr:uid="{00000000-0005-0000-0000-00001D000000}"/>
    <cellStyle name="20% - Énfasis2 4" xfId="36" xr:uid="{00000000-0005-0000-0000-00001E000000}"/>
    <cellStyle name="20% - Énfasis2 5" xfId="37" xr:uid="{00000000-0005-0000-0000-00001F000000}"/>
    <cellStyle name="20% - Énfasis2 6" xfId="38" xr:uid="{00000000-0005-0000-0000-000020000000}"/>
    <cellStyle name="20% - Énfasis2 7" xfId="39" xr:uid="{00000000-0005-0000-0000-000021000000}"/>
    <cellStyle name="20% - Énfasis2 8" xfId="40" xr:uid="{00000000-0005-0000-0000-000022000000}"/>
    <cellStyle name="20% - Énfasis2 9" xfId="41" xr:uid="{00000000-0005-0000-0000-000023000000}"/>
    <cellStyle name="20% - Énfasis3 10" xfId="42" xr:uid="{00000000-0005-0000-0000-000024000000}"/>
    <cellStyle name="20% - Énfasis3 11" xfId="43" xr:uid="{00000000-0005-0000-0000-000025000000}"/>
    <cellStyle name="20% - Énfasis3 12" xfId="44" xr:uid="{00000000-0005-0000-0000-000026000000}"/>
    <cellStyle name="20% - Énfasis3 13" xfId="45" xr:uid="{00000000-0005-0000-0000-000027000000}"/>
    <cellStyle name="20% - Énfasis3 14" xfId="46" xr:uid="{00000000-0005-0000-0000-000028000000}"/>
    <cellStyle name="20% - Énfasis3 15" xfId="47" xr:uid="{00000000-0005-0000-0000-000029000000}"/>
    <cellStyle name="20% - Énfasis3 16" xfId="48" xr:uid="{00000000-0005-0000-0000-00002A000000}"/>
    <cellStyle name="20% - Énfasis3 2" xfId="49" xr:uid="{00000000-0005-0000-0000-00002B000000}"/>
    <cellStyle name="20% - Énfasis3 3" xfId="50" xr:uid="{00000000-0005-0000-0000-00002C000000}"/>
    <cellStyle name="20% - Énfasis3 4" xfId="51" xr:uid="{00000000-0005-0000-0000-00002D000000}"/>
    <cellStyle name="20% - Énfasis3 5" xfId="52" xr:uid="{00000000-0005-0000-0000-00002E000000}"/>
    <cellStyle name="20% - Énfasis3 6" xfId="53" xr:uid="{00000000-0005-0000-0000-00002F000000}"/>
    <cellStyle name="20% - Énfasis3 7" xfId="54" xr:uid="{00000000-0005-0000-0000-000030000000}"/>
    <cellStyle name="20% - Énfasis3 8" xfId="55" xr:uid="{00000000-0005-0000-0000-000031000000}"/>
    <cellStyle name="20% - Énfasis3 9" xfId="56" xr:uid="{00000000-0005-0000-0000-000032000000}"/>
    <cellStyle name="20% - Énfasis4 10" xfId="57" xr:uid="{00000000-0005-0000-0000-000033000000}"/>
    <cellStyle name="20% - Énfasis4 11" xfId="58" xr:uid="{00000000-0005-0000-0000-000034000000}"/>
    <cellStyle name="20% - Énfasis4 12" xfId="59" xr:uid="{00000000-0005-0000-0000-000035000000}"/>
    <cellStyle name="20% - Énfasis4 13" xfId="60" xr:uid="{00000000-0005-0000-0000-000036000000}"/>
    <cellStyle name="20% - Énfasis4 14" xfId="61" xr:uid="{00000000-0005-0000-0000-000037000000}"/>
    <cellStyle name="20% - Énfasis4 15" xfId="62" xr:uid="{00000000-0005-0000-0000-000038000000}"/>
    <cellStyle name="20% - Énfasis4 16" xfId="63" xr:uid="{00000000-0005-0000-0000-000039000000}"/>
    <cellStyle name="20% - Énfasis4 2" xfId="64" xr:uid="{00000000-0005-0000-0000-00003A000000}"/>
    <cellStyle name="20% - Énfasis4 3" xfId="65" xr:uid="{00000000-0005-0000-0000-00003B000000}"/>
    <cellStyle name="20% - Énfasis4 4" xfId="66" xr:uid="{00000000-0005-0000-0000-00003C000000}"/>
    <cellStyle name="20% - Énfasis4 5" xfId="67" xr:uid="{00000000-0005-0000-0000-00003D000000}"/>
    <cellStyle name="20% - Énfasis4 6" xfId="68" xr:uid="{00000000-0005-0000-0000-00003E000000}"/>
    <cellStyle name="20% - Énfasis4 7" xfId="69" xr:uid="{00000000-0005-0000-0000-00003F000000}"/>
    <cellStyle name="20% - Énfasis4 8" xfId="70" xr:uid="{00000000-0005-0000-0000-000040000000}"/>
    <cellStyle name="20% - Énfasis4 9" xfId="71" xr:uid="{00000000-0005-0000-0000-000041000000}"/>
    <cellStyle name="20% - Énfasis5 10" xfId="72" xr:uid="{00000000-0005-0000-0000-000042000000}"/>
    <cellStyle name="20% - Énfasis5 11" xfId="73" xr:uid="{00000000-0005-0000-0000-000043000000}"/>
    <cellStyle name="20% - Énfasis5 12" xfId="74" xr:uid="{00000000-0005-0000-0000-000044000000}"/>
    <cellStyle name="20% - Énfasis5 13" xfId="75" xr:uid="{00000000-0005-0000-0000-000045000000}"/>
    <cellStyle name="20% - Énfasis5 14" xfId="76" xr:uid="{00000000-0005-0000-0000-000046000000}"/>
    <cellStyle name="20% - Énfasis5 15" xfId="77" xr:uid="{00000000-0005-0000-0000-000047000000}"/>
    <cellStyle name="20% - Énfasis5 16" xfId="78" xr:uid="{00000000-0005-0000-0000-000048000000}"/>
    <cellStyle name="20% - Énfasis5 2" xfId="79" xr:uid="{00000000-0005-0000-0000-000049000000}"/>
    <cellStyle name="20% - Énfasis5 3" xfId="80" xr:uid="{00000000-0005-0000-0000-00004A000000}"/>
    <cellStyle name="20% - Énfasis5 4" xfId="81" xr:uid="{00000000-0005-0000-0000-00004B000000}"/>
    <cellStyle name="20% - Énfasis5 5" xfId="82" xr:uid="{00000000-0005-0000-0000-00004C000000}"/>
    <cellStyle name="20% - Énfasis5 6" xfId="83" xr:uid="{00000000-0005-0000-0000-00004D000000}"/>
    <cellStyle name="20% - Énfasis5 7" xfId="84" xr:uid="{00000000-0005-0000-0000-00004E000000}"/>
    <cellStyle name="20% - Énfasis5 8" xfId="85" xr:uid="{00000000-0005-0000-0000-00004F000000}"/>
    <cellStyle name="20% - Énfasis5 9" xfId="86" xr:uid="{00000000-0005-0000-0000-000050000000}"/>
    <cellStyle name="20% - Énfasis6 10" xfId="87" xr:uid="{00000000-0005-0000-0000-000051000000}"/>
    <cellStyle name="20% - Énfasis6 11" xfId="88" xr:uid="{00000000-0005-0000-0000-000052000000}"/>
    <cellStyle name="20% - Énfasis6 12" xfId="89" xr:uid="{00000000-0005-0000-0000-000053000000}"/>
    <cellStyle name="20% - Énfasis6 13" xfId="90" xr:uid="{00000000-0005-0000-0000-000054000000}"/>
    <cellStyle name="20% - Énfasis6 14" xfId="91" xr:uid="{00000000-0005-0000-0000-000055000000}"/>
    <cellStyle name="20% - Énfasis6 15" xfId="92" xr:uid="{00000000-0005-0000-0000-000056000000}"/>
    <cellStyle name="20% - Énfasis6 16" xfId="93" xr:uid="{00000000-0005-0000-0000-000057000000}"/>
    <cellStyle name="20% - Énfasis6 2" xfId="94" xr:uid="{00000000-0005-0000-0000-000058000000}"/>
    <cellStyle name="20% - Énfasis6 3" xfId="95" xr:uid="{00000000-0005-0000-0000-000059000000}"/>
    <cellStyle name="20% - Énfasis6 4" xfId="96" xr:uid="{00000000-0005-0000-0000-00005A000000}"/>
    <cellStyle name="20% - Énfasis6 5" xfId="97" xr:uid="{00000000-0005-0000-0000-00005B000000}"/>
    <cellStyle name="20% - Énfasis6 6" xfId="98" xr:uid="{00000000-0005-0000-0000-00005C000000}"/>
    <cellStyle name="20% - Énfasis6 7" xfId="99" xr:uid="{00000000-0005-0000-0000-00005D000000}"/>
    <cellStyle name="20% - Énfasis6 8" xfId="100" xr:uid="{00000000-0005-0000-0000-00005E000000}"/>
    <cellStyle name="20% - Énfasis6 9" xfId="101" xr:uid="{00000000-0005-0000-0000-00005F000000}"/>
    <cellStyle name="40% - Accent1" xfId="252" xr:uid="{00000000-0005-0000-0000-000060000000}"/>
    <cellStyle name="40% - Accent2" xfId="253" xr:uid="{00000000-0005-0000-0000-000061000000}"/>
    <cellStyle name="40% - Accent3" xfId="254" xr:uid="{00000000-0005-0000-0000-000062000000}"/>
    <cellStyle name="40% - Accent4" xfId="255" xr:uid="{00000000-0005-0000-0000-000063000000}"/>
    <cellStyle name="40% - Accent5" xfId="256" xr:uid="{00000000-0005-0000-0000-000064000000}"/>
    <cellStyle name="40% - Accent6" xfId="257" xr:uid="{00000000-0005-0000-0000-000065000000}"/>
    <cellStyle name="40% - Énfasis1 10" xfId="102" xr:uid="{00000000-0005-0000-0000-000066000000}"/>
    <cellStyle name="40% - Énfasis1 11" xfId="103" xr:uid="{00000000-0005-0000-0000-000067000000}"/>
    <cellStyle name="40% - Énfasis1 12" xfId="104" xr:uid="{00000000-0005-0000-0000-000068000000}"/>
    <cellStyle name="40% - Énfasis1 13" xfId="105" xr:uid="{00000000-0005-0000-0000-000069000000}"/>
    <cellStyle name="40% - Énfasis1 14" xfId="106" xr:uid="{00000000-0005-0000-0000-00006A000000}"/>
    <cellStyle name="40% - Énfasis1 15" xfId="107" xr:uid="{00000000-0005-0000-0000-00006B000000}"/>
    <cellStyle name="40% - Énfasis1 16" xfId="108" xr:uid="{00000000-0005-0000-0000-00006C000000}"/>
    <cellStyle name="40% - Énfasis1 2" xfId="109" xr:uid="{00000000-0005-0000-0000-00006D000000}"/>
    <cellStyle name="40% - Énfasis1 3" xfId="110" xr:uid="{00000000-0005-0000-0000-00006E000000}"/>
    <cellStyle name="40% - Énfasis1 4" xfId="111" xr:uid="{00000000-0005-0000-0000-00006F000000}"/>
    <cellStyle name="40% - Énfasis1 5" xfId="112" xr:uid="{00000000-0005-0000-0000-000070000000}"/>
    <cellStyle name="40% - Énfasis1 6" xfId="113" xr:uid="{00000000-0005-0000-0000-000071000000}"/>
    <cellStyle name="40% - Énfasis1 7" xfId="114" xr:uid="{00000000-0005-0000-0000-000072000000}"/>
    <cellStyle name="40% - Énfasis1 8" xfId="115" xr:uid="{00000000-0005-0000-0000-000073000000}"/>
    <cellStyle name="40% - Énfasis1 9" xfId="116" xr:uid="{00000000-0005-0000-0000-000074000000}"/>
    <cellStyle name="40% - Énfasis2 10" xfId="117" xr:uid="{00000000-0005-0000-0000-000075000000}"/>
    <cellStyle name="40% - Énfasis2 11" xfId="118" xr:uid="{00000000-0005-0000-0000-000076000000}"/>
    <cellStyle name="40% - Énfasis2 12" xfId="119" xr:uid="{00000000-0005-0000-0000-000077000000}"/>
    <cellStyle name="40% - Énfasis2 13" xfId="120" xr:uid="{00000000-0005-0000-0000-000078000000}"/>
    <cellStyle name="40% - Énfasis2 14" xfId="121" xr:uid="{00000000-0005-0000-0000-000079000000}"/>
    <cellStyle name="40% - Énfasis2 15" xfId="122" xr:uid="{00000000-0005-0000-0000-00007A000000}"/>
    <cellStyle name="40% - Énfasis2 16" xfId="123" xr:uid="{00000000-0005-0000-0000-00007B000000}"/>
    <cellStyle name="40% - Énfasis2 2" xfId="124" xr:uid="{00000000-0005-0000-0000-00007C000000}"/>
    <cellStyle name="40% - Énfasis2 3" xfId="125" xr:uid="{00000000-0005-0000-0000-00007D000000}"/>
    <cellStyle name="40% - Énfasis2 4" xfId="126" xr:uid="{00000000-0005-0000-0000-00007E000000}"/>
    <cellStyle name="40% - Énfasis2 5" xfId="127" xr:uid="{00000000-0005-0000-0000-00007F000000}"/>
    <cellStyle name="40% - Énfasis2 6" xfId="128" xr:uid="{00000000-0005-0000-0000-000080000000}"/>
    <cellStyle name="40% - Énfasis2 7" xfId="129" xr:uid="{00000000-0005-0000-0000-000081000000}"/>
    <cellStyle name="40% - Énfasis2 8" xfId="130" xr:uid="{00000000-0005-0000-0000-000082000000}"/>
    <cellStyle name="40% - Énfasis2 9" xfId="131" xr:uid="{00000000-0005-0000-0000-000083000000}"/>
    <cellStyle name="40% - Énfasis3 10" xfId="132" xr:uid="{00000000-0005-0000-0000-000084000000}"/>
    <cellStyle name="40% - Énfasis3 11" xfId="133" xr:uid="{00000000-0005-0000-0000-000085000000}"/>
    <cellStyle name="40% - Énfasis3 12" xfId="134" xr:uid="{00000000-0005-0000-0000-000086000000}"/>
    <cellStyle name="40% - Énfasis3 13" xfId="135" xr:uid="{00000000-0005-0000-0000-000087000000}"/>
    <cellStyle name="40% - Énfasis3 14" xfId="136" xr:uid="{00000000-0005-0000-0000-000088000000}"/>
    <cellStyle name="40% - Énfasis3 15" xfId="137" xr:uid="{00000000-0005-0000-0000-000089000000}"/>
    <cellStyle name="40% - Énfasis3 16" xfId="138" xr:uid="{00000000-0005-0000-0000-00008A000000}"/>
    <cellStyle name="40% - Énfasis3 2" xfId="139" xr:uid="{00000000-0005-0000-0000-00008B000000}"/>
    <cellStyle name="40% - Énfasis3 3" xfId="140" xr:uid="{00000000-0005-0000-0000-00008C000000}"/>
    <cellStyle name="40% - Énfasis3 4" xfId="141" xr:uid="{00000000-0005-0000-0000-00008D000000}"/>
    <cellStyle name="40% - Énfasis3 5" xfId="142" xr:uid="{00000000-0005-0000-0000-00008E000000}"/>
    <cellStyle name="40% - Énfasis3 6" xfId="143" xr:uid="{00000000-0005-0000-0000-00008F000000}"/>
    <cellStyle name="40% - Énfasis3 7" xfId="144" xr:uid="{00000000-0005-0000-0000-000090000000}"/>
    <cellStyle name="40% - Énfasis3 8" xfId="145" xr:uid="{00000000-0005-0000-0000-000091000000}"/>
    <cellStyle name="40% - Énfasis3 9" xfId="146" xr:uid="{00000000-0005-0000-0000-000092000000}"/>
    <cellStyle name="40% - Énfasis4 10" xfId="147" xr:uid="{00000000-0005-0000-0000-000093000000}"/>
    <cellStyle name="40% - Énfasis4 11" xfId="148" xr:uid="{00000000-0005-0000-0000-000094000000}"/>
    <cellStyle name="40% - Énfasis4 12" xfId="149" xr:uid="{00000000-0005-0000-0000-000095000000}"/>
    <cellStyle name="40% - Énfasis4 13" xfId="150" xr:uid="{00000000-0005-0000-0000-000096000000}"/>
    <cellStyle name="40% - Énfasis4 14" xfId="151" xr:uid="{00000000-0005-0000-0000-000097000000}"/>
    <cellStyle name="40% - Énfasis4 15" xfId="152" xr:uid="{00000000-0005-0000-0000-000098000000}"/>
    <cellStyle name="40% - Énfasis4 16" xfId="153" xr:uid="{00000000-0005-0000-0000-000099000000}"/>
    <cellStyle name="40% - Énfasis4 2" xfId="154" xr:uid="{00000000-0005-0000-0000-00009A000000}"/>
    <cellStyle name="40% - Énfasis4 3" xfId="155" xr:uid="{00000000-0005-0000-0000-00009B000000}"/>
    <cellStyle name="40% - Énfasis4 4" xfId="156" xr:uid="{00000000-0005-0000-0000-00009C000000}"/>
    <cellStyle name="40% - Énfasis4 5" xfId="157" xr:uid="{00000000-0005-0000-0000-00009D000000}"/>
    <cellStyle name="40% - Énfasis4 6" xfId="158" xr:uid="{00000000-0005-0000-0000-00009E000000}"/>
    <cellStyle name="40% - Énfasis4 7" xfId="159" xr:uid="{00000000-0005-0000-0000-00009F000000}"/>
    <cellStyle name="40% - Énfasis4 8" xfId="160" xr:uid="{00000000-0005-0000-0000-0000A0000000}"/>
    <cellStyle name="40% - Énfasis4 9" xfId="161" xr:uid="{00000000-0005-0000-0000-0000A1000000}"/>
    <cellStyle name="40% - Énfasis5 10" xfId="162" xr:uid="{00000000-0005-0000-0000-0000A2000000}"/>
    <cellStyle name="40% - Énfasis5 11" xfId="163" xr:uid="{00000000-0005-0000-0000-0000A3000000}"/>
    <cellStyle name="40% - Énfasis5 12" xfId="164" xr:uid="{00000000-0005-0000-0000-0000A4000000}"/>
    <cellStyle name="40% - Énfasis5 13" xfId="165" xr:uid="{00000000-0005-0000-0000-0000A5000000}"/>
    <cellStyle name="40% - Énfasis5 14" xfId="166" xr:uid="{00000000-0005-0000-0000-0000A6000000}"/>
    <cellStyle name="40% - Énfasis5 15" xfId="167" xr:uid="{00000000-0005-0000-0000-0000A7000000}"/>
    <cellStyle name="40% - Énfasis5 16" xfId="168" xr:uid="{00000000-0005-0000-0000-0000A8000000}"/>
    <cellStyle name="40% - Énfasis5 2" xfId="169" xr:uid="{00000000-0005-0000-0000-0000A9000000}"/>
    <cellStyle name="40% - Énfasis5 3" xfId="170" xr:uid="{00000000-0005-0000-0000-0000AA000000}"/>
    <cellStyle name="40% - Énfasis5 4" xfId="171" xr:uid="{00000000-0005-0000-0000-0000AB000000}"/>
    <cellStyle name="40% - Énfasis5 5" xfId="172" xr:uid="{00000000-0005-0000-0000-0000AC000000}"/>
    <cellStyle name="40% - Énfasis5 6" xfId="173" xr:uid="{00000000-0005-0000-0000-0000AD000000}"/>
    <cellStyle name="40% - Énfasis5 7" xfId="174" xr:uid="{00000000-0005-0000-0000-0000AE000000}"/>
    <cellStyle name="40% - Énfasis5 8" xfId="175" xr:uid="{00000000-0005-0000-0000-0000AF000000}"/>
    <cellStyle name="40% - Énfasis5 9" xfId="176" xr:uid="{00000000-0005-0000-0000-0000B0000000}"/>
    <cellStyle name="40% - Énfasis6 10" xfId="177" xr:uid="{00000000-0005-0000-0000-0000B1000000}"/>
    <cellStyle name="40% - Énfasis6 11" xfId="178" xr:uid="{00000000-0005-0000-0000-0000B2000000}"/>
    <cellStyle name="40% - Énfasis6 12" xfId="179" xr:uid="{00000000-0005-0000-0000-0000B3000000}"/>
    <cellStyle name="40% - Énfasis6 13" xfId="180" xr:uid="{00000000-0005-0000-0000-0000B4000000}"/>
    <cellStyle name="40% - Énfasis6 14" xfId="181" xr:uid="{00000000-0005-0000-0000-0000B5000000}"/>
    <cellStyle name="40% - Énfasis6 15" xfId="182" xr:uid="{00000000-0005-0000-0000-0000B6000000}"/>
    <cellStyle name="40% - Énfasis6 16" xfId="183" xr:uid="{00000000-0005-0000-0000-0000B7000000}"/>
    <cellStyle name="40% - Énfasis6 2" xfId="184" xr:uid="{00000000-0005-0000-0000-0000B8000000}"/>
    <cellStyle name="40% - Énfasis6 3" xfId="185" xr:uid="{00000000-0005-0000-0000-0000B9000000}"/>
    <cellStyle name="40% - Énfasis6 4" xfId="186" xr:uid="{00000000-0005-0000-0000-0000BA000000}"/>
    <cellStyle name="40% - Énfasis6 5" xfId="187" xr:uid="{00000000-0005-0000-0000-0000BB000000}"/>
    <cellStyle name="40% - Énfasis6 6" xfId="188" xr:uid="{00000000-0005-0000-0000-0000BC000000}"/>
    <cellStyle name="40% - Énfasis6 7" xfId="189" xr:uid="{00000000-0005-0000-0000-0000BD000000}"/>
    <cellStyle name="40% - Énfasis6 8" xfId="190" xr:uid="{00000000-0005-0000-0000-0000BE000000}"/>
    <cellStyle name="40% - Énfasis6 9" xfId="191" xr:uid="{00000000-0005-0000-0000-0000BF000000}"/>
    <cellStyle name="60% - Accent1" xfId="258" xr:uid="{00000000-0005-0000-0000-0000C0000000}"/>
    <cellStyle name="60% - Accent2" xfId="259" xr:uid="{00000000-0005-0000-0000-0000C1000000}"/>
    <cellStyle name="60% - Accent3" xfId="260" xr:uid="{00000000-0005-0000-0000-0000C2000000}"/>
    <cellStyle name="60% - Accent4" xfId="261" xr:uid="{00000000-0005-0000-0000-0000C3000000}"/>
    <cellStyle name="60% - Accent5" xfId="262" xr:uid="{00000000-0005-0000-0000-0000C4000000}"/>
    <cellStyle name="60% - Accent6" xfId="263" xr:uid="{00000000-0005-0000-0000-0000C5000000}"/>
    <cellStyle name="Accent1" xfId="264" xr:uid="{00000000-0005-0000-0000-0000C6000000}"/>
    <cellStyle name="Accent1 - 20%" xfId="265" xr:uid="{00000000-0005-0000-0000-0000C7000000}"/>
    <cellStyle name="Accent1 - 40%" xfId="266" xr:uid="{00000000-0005-0000-0000-0000C8000000}"/>
    <cellStyle name="Accent1 - 60%" xfId="267" xr:uid="{00000000-0005-0000-0000-0000C9000000}"/>
    <cellStyle name="Accent2" xfId="268" xr:uid="{00000000-0005-0000-0000-0000CA000000}"/>
    <cellStyle name="Accent2 - 20%" xfId="269" xr:uid="{00000000-0005-0000-0000-0000CB000000}"/>
    <cellStyle name="Accent2 - 40%" xfId="270" xr:uid="{00000000-0005-0000-0000-0000CC000000}"/>
    <cellStyle name="Accent2 - 60%" xfId="271" xr:uid="{00000000-0005-0000-0000-0000CD000000}"/>
    <cellStyle name="Accent3" xfId="272" xr:uid="{00000000-0005-0000-0000-0000CE000000}"/>
    <cellStyle name="Accent3 - 20%" xfId="273" xr:uid="{00000000-0005-0000-0000-0000CF000000}"/>
    <cellStyle name="Accent3 - 40%" xfId="274" xr:uid="{00000000-0005-0000-0000-0000D0000000}"/>
    <cellStyle name="Accent3 - 60%" xfId="275" xr:uid="{00000000-0005-0000-0000-0000D1000000}"/>
    <cellStyle name="Accent4" xfId="276" xr:uid="{00000000-0005-0000-0000-0000D2000000}"/>
    <cellStyle name="Accent4 - 20%" xfId="277" xr:uid="{00000000-0005-0000-0000-0000D3000000}"/>
    <cellStyle name="Accent4 - 40%" xfId="278" xr:uid="{00000000-0005-0000-0000-0000D4000000}"/>
    <cellStyle name="Accent4 - 60%" xfId="279" xr:uid="{00000000-0005-0000-0000-0000D5000000}"/>
    <cellStyle name="Accent5" xfId="280" xr:uid="{00000000-0005-0000-0000-0000D6000000}"/>
    <cellStyle name="Accent5 - 20%" xfId="281" xr:uid="{00000000-0005-0000-0000-0000D7000000}"/>
    <cellStyle name="Accent5 - 40%" xfId="282" xr:uid="{00000000-0005-0000-0000-0000D8000000}"/>
    <cellStyle name="Accent5 - 60%" xfId="283" xr:uid="{00000000-0005-0000-0000-0000D9000000}"/>
    <cellStyle name="Accent6" xfId="284" xr:uid="{00000000-0005-0000-0000-0000DA000000}"/>
    <cellStyle name="Accent6 - 20%" xfId="285" xr:uid="{00000000-0005-0000-0000-0000DB000000}"/>
    <cellStyle name="Accent6 - 40%" xfId="286" xr:uid="{00000000-0005-0000-0000-0000DC000000}"/>
    <cellStyle name="Accent6 - 60%" xfId="287" xr:uid="{00000000-0005-0000-0000-0000DD000000}"/>
    <cellStyle name="Bad" xfId="288" xr:uid="{00000000-0005-0000-0000-0000DE000000}"/>
    <cellStyle name="Calculation" xfId="289" xr:uid="{00000000-0005-0000-0000-0000DF000000}"/>
    <cellStyle name="Check Cell" xfId="290" xr:uid="{00000000-0005-0000-0000-0000E0000000}"/>
    <cellStyle name="Emphasis 1" xfId="291" xr:uid="{00000000-0005-0000-0000-0000E1000000}"/>
    <cellStyle name="Emphasis 2" xfId="292" xr:uid="{00000000-0005-0000-0000-0000E2000000}"/>
    <cellStyle name="Emphasis 3" xfId="293" xr:uid="{00000000-0005-0000-0000-0000E3000000}"/>
    <cellStyle name="Euro" xfId="192" xr:uid="{00000000-0005-0000-0000-0000E4000000}"/>
    <cellStyle name="Explanatory Text" xfId="294" xr:uid="{00000000-0005-0000-0000-0000E5000000}"/>
    <cellStyle name="Good" xfId="295" xr:uid="{00000000-0005-0000-0000-0000E6000000}"/>
    <cellStyle name="Heading 1" xfId="296" xr:uid="{00000000-0005-0000-0000-0000E7000000}"/>
    <cellStyle name="Heading 2" xfId="297" xr:uid="{00000000-0005-0000-0000-0000E8000000}"/>
    <cellStyle name="Heading 3" xfId="298" xr:uid="{00000000-0005-0000-0000-0000E9000000}"/>
    <cellStyle name="Heading 4" xfId="299" xr:uid="{00000000-0005-0000-0000-0000EA000000}"/>
    <cellStyle name="Hipervínculo visitado1" xfId="193" xr:uid="{00000000-0005-0000-0000-0000EB000000}"/>
    <cellStyle name="Hipervínculo1" xfId="194" xr:uid="{00000000-0005-0000-0000-0000EC000000}"/>
    <cellStyle name="Input" xfId="300" xr:uid="{00000000-0005-0000-0000-0000ED000000}"/>
    <cellStyle name="Linked Cell" xfId="301" xr:uid="{00000000-0005-0000-0000-0000EE000000}"/>
    <cellStyle name="Millares" xfId="8" builtinId="3"/>
    <cellStyle name="Millares [0]" xfId="1" builtinId="6"/>
    <cellStyle name="Millares [0] 2" xfId="2" xr:uid="{00000000-0005-0000-0000-0000F1000000}"/>
    <cellStyle name="Millares [0] 3" xfId="195" xr:uid="{00000000-0005-0000-0000-0000F2000000}"/>
    <cellStyle name="Millares [0] 3 2" xfId="302" xr:uid="{00000000-0005-0000-0000-0000F3000000}"/>
    <cellStyle name="Millares [0] 4" xfId="196" xr:uid="{00000000-0005-0000-0000-0000F4000000}"/>
    <cellStyle name="Millares [0] 5" xfId="197" xr:uid="{00000000-0005-0000-0000-0000F5000000}"/>
    <cellStyle name="Millares [0] 6" xfId="242" xr:uid="{00000000-0005-0000-0000-0000F6000000}"/>
    <cellStyle name="Millares 2" xfId="198" xr:uid="{00000000-0005-0000-0000-0000F7000000}"/>
    <cellStyle name="Millares 2 2" xfId="303" xr:uid="{00000000-0005-0000-0000-0000F8000000}"/>
    <cellStyle name="Millares 3" xfId="199" xr:uid="{00000000-0005-0000-0000-0000F9000000}"/>
    <cellStyle name="Millares 3 2" xfId="11" xr:uid="{00000000-0005-0000-0000-0000FA000000}"/>
    <cellStyle name="Millares 4" xfId="240" xr:uid="{00000000-0005-0000-0000-0000FB000000}"/>
    <cellStyle name="Millares 5" xfId="244" xr:uid="{00000000-0005-0000-0000-0000FC000000}"/>
    <cellStyle name="Millares 6" xfId="315" xr:uid="{AB5587E0-F610-4800-81B8-592E01C9853C}"/>
    <cellStyle name="Normal" xfId="0" builtinId="0"/>
    <cellStyle name="Normal 10" xfId="200" xr:uid="{00000000-0005-0000-0000-0000FE000000}"/>
    <cellStyle name="Normal 11" xfId="201" xr:uid="{00000000-0005-0000-0000-0000FF000000}"/>
    <cellStyle name="Normal 12" xfId="202" xr:uid="{00000000-0005-0000-0000-000000010000}"/>
    <cellStyle name="Normal 13" xfId="203" xr:uid="{00000000-0005-0000-0000-000001010000}"/>
    <cellStyle name="Normal 14" xfId="204" xr:uid="{00000000-0005-0000-0000-000002010000}"/>
    <cellStyle name="Normal 15" xfId="205" xr:uid="{00000000-0005-0000-0000-000003010000}"/>
    <cellStyle name="Normal 16" xfId="206" xr:uid="{00000000-0005-0000-0000-000004010000}"/>
    <cellStyle name="Normal 17" xfId="207" xr:uid="{00000000-0005-0000-0000-000005010000}"/>
    <cellStyle name="Normal 18" xfId="208" xr:uid="{00000000-0005-0000-0000-000006010000}"/>
    <cellStyle name="Normal 19" xfId="209" xr:uid="{00000000-0005-0000-0000-000007010000}"/>
    <cellStyle name="Normal 2" xfId="5" xr:uid="{00000000-0005-0000-0000-000008010000}"/>
    <cellStyle name="Normal 2 2" xfId="210" xr:uid="{00000000-0005-0000-0000-000009010000}"/>
    <cellStyle name="Normal 2 3" xfId="243" xr:uid="{00000000-0005-0000-0000-00000A010000}"/>
    <cellStyle name="Normal 20" xfId="211" xr:uid="{00000000-0005-0000-0000-00000B010000}"/>
    <cellStyle name="Normal 21" xfId="9" xr:uid="{00000000-0005-0000-0000-00000C010000}"/>
    <cellStyle name="Normal 21 2" xfId="311" xr:uid="{00000000-0005-0000-0000-00000D010000}"/>
    <cellStyle name="Normal 21 3" xfId="313" xr:uid="{00000000-0005-0000-0000-00000E010000}"/>
    <cellStyle name="Normal 22" xfId="239" xr:uid="{00000000-0005-0000-0000-00000F010000}"/>
    <cellStyle name="Normal 23" xfId="312" xr:uid="{00000000-0005-0000-0000-000010010000}"/>
    <cellStyle name="Normal 3" xfId="6" xr:uid="{00000000-0005-0000-0000-000011010000}"/>
    <cellStyle name="Normal 3 2" xfId="7" xr:uid="{00000000-0005-0000-0000-000012010000}"/>
    <cellStyle name="Normal 3 3" xfId="212" xr:uid="{00000000-0005-0000-0000-000013010000}"/>
    <cellStyle name="Normal 3 4" xfId="316" xr:uid="{AD2A883D-8CA3-475F-B1E4-4581732C0D45}"/>
    <cellStyle name="Normal 4" xfId="213" xr:uid="{00000000-0005-0000-0000-000014010000}"/>
    <cellStyle name="Normal 4 2" xfId="304" xr:uid="{00000000-0005-0000-0000-000015010000}"/>
    <cellStyle name="Normal 5" xfId="214" xr:uid="{00000000-0005-0000-0000-000016010000}"/>
    <cellStyle name="Normal 6" xfId="215" xr:uid="{00000000-0005-0000-0000-000017010000}"/>
    <cellStyle name="Normal 7" xfId="216" xr:uid="{00000000-0005-0000-0000-000018010000}"/>
    <cellStyle name="Normal 8" xfId="217" xr:uid="{00000000-0005-0000-0000-000019010000}"/>
    <cellStyle name="Normal 9" xfId="218" xr:uid="{00000000-0005-0000-0000-00001A010000}"/>
    <cellStyle name="Notas 10" xfId="219" xr:uid="{00000000-0005-0000-0000-00001D010000}"/>
    <cellStyle name="Notas 11" xfId="220" xr:uid="{00000000-0005-0000-0000-00001E010000}"/>
    <cellStyle name="Notas 12" xfId="221" xr:uid="{00000000-0005-0000-0000-00001F010000}"/>
    <cellStyle name="Notas 13" xfId="222" xr:uid="{00000000-0005-0000-0000-000020010000}"/>
    <cellStyle name="Notas 14" xfId="223" xr:uid="{00000000-0005-0000-0000-000021010000}"/>
    <cellStyle name="Notas 15" xfId="224" xr:uid="{00000000-0005-0000-0000-000022010000}"/>
    <cellStyle name="Notas 16" xfId="225" xr:uid="{00000000-0005-0000-0000-000023010000}"/>
    <cellStyle name="Notas 17" xfId="226" xr:uid="{00000000-0005-0000-0000-000024010000}"/>
    <cellStyle name="Notas 18" xfId="227" xr:uid="{00000000-0005-0000-0000-000025010000}"/>
    <cellStyle name="Notas 19" xfId="228" xr:uid="{00000000-0005-0000-0000-000026010000}"/>
    <cellStyle name="Notas 2" xfId="229" xr:uid="{00000000-0005-0000-0000-000027010000}"/>
    <cellStyle name="Notas 3" xfId="230" xr:uid="{00000000-0005-0000-0000-000028010000}"/>
    <cellStyle name="Notas 4" xfId="231" xr:uid="{00000000-0005-0000-0000-000029010000}"/>
    <cellStyle name="Notas 5" xfId="232" xr:uid="{00000000-0005-0000-0000-00002A010000}"/>
    <cellStyle name="Notas 6" xfId="233" xr:uid="{00000000-0005-0000-0000-00002B010000}"/>
    <cellStyle name="Notas 7" xfId="234" xr:uid="{00000000-0005-0000-0000-00002C010000}"/>
    <cellStyle name="Notas 8" xfId="235" xr:uid="{00000000-0005-0000-0000-00002D010000}"/>
    <cellStyle name="Notas 9" xfId="236" xr:uid="{00000000-0005-0000-0000-00002E010000}"/>
    <cellStyle name="Note" xfId="305" xr:uid="{00000000-0005-0000-0000-00002F010000}"/>
    <cellStyle name="Output" xfId="306" xr:uid="{00000000-0005-0000-0000-000030010000}"/>
    <cellStyle name="Porcentaje" xfId="3" builtinId="5"/>
    <cellStyle name="Porcentaje 2" xfId="10" xr:uid="{00000000-0005-0000-0000-000032010000}"/>
    <cellStyle name="Porcentaje 2 2" xfId="314" xr:uid="{00000000-0005-0000-0000-000033010000}"/>
    <cellStyle name="Porcentaje 3" xfId="241" xr:uid="{00000000-0005-0000-0000-000034010000}"/>
    <cellStyle name="Porcentaje 4" xfId="245" xr:uid="{00000000-0005-0000-0000-000035010000}"/>
    <cellStyle name="Porcentual 2" xfId="4" xr:uid="{00000000-0005-0000-0000-000036010000}"/>
    <cellStyle name="Porcentual 2 2" xfId="307" xr:uid="{00000000-0005-0000-0000-000037010000}"/>
    <cellStyle name="Porcentual 3" xfId="237" xr:uid="{00000000-0005-0000-0000-000038010000}"/>
    <cellStyle name="Porcentual 4" xfId="238" xr:uid="{00000000-0005-0000-0000-000039010000}"/>
    <cellStyle name="Sheet Title" xfId="308" xr:uid="{00000000-0005-0000-0000-00003A010000}"/>
    <cellStyle name="Title" xfId="309" xr:uid="{00000000-0005-0000-0000-00003B010000}"/>
    <cellStyle name="Warning Text" xfId="310" xr:uid="{00000000-0005-0000-0000-00003C01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7F7F7F"/>
      <color rgb="FFFFFFCC"/>
      <color rgb="FFFFFF99"/>
      <color rgb="FFFF6D22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'Va. Peajes transporte'!$A$39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transporte'!$B$39:$G$39</c:f>
              <c:numCache>
                <c:formatCode>_-* #,##0.0\ _P_t_a_-;\-* #,##0.0\ _P_t_a_-;_-* "-"??\ _P_t_a_-;_-@_-</c:formatCode>
                <c:ptCount val="6"/>
                <c:pt idx="0">
                  <c:v>10.157546808133763</c:v>
                </c:pt>
                <c:pt idx="1">
                  <c:v>8.5852850342634444</c:v>
                </c:pt>
                <c:pt idx="2">
                  <c:v>3.8059346358323909</c:v>
                </c:pt>
                <c:pt idx="3">
                  <c:v>2.9989746007183467</c:v>
                </c:pt>
                <c:pt idx="4">
                  <c:v>4.5573758766861976E-2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6C-4D26-926E-A9BAE804F798}"/>
            </c:ext>
          </c:extLst>
        </c:ser>
        <c:ser>
          <c:idx val="1"/>
          <c:order val="1"/>
          <c:tx>
            <c:strRef>
              <c:f>'Va. Peajes transporte'!$A$40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transporte'!$B$40:$G$40</c:f>
              <c:numCache>
                <c:formatCode>_-* #,##0.0\ _P_t_a_-;\-* #,##0.0\ _P_t_a_-;_-* "-"??\ _P_t_a_-;_-@_-</c:formatCode>
                <c:ptCount val="6"/>
                <c:pt idx="0">
                  <c:v>15.613072071450896</c:v>
                </c:pt>
                <c:pt idx="1">
                  <c:v>19.684724466964944</c:v>
                </c:pt>
                <c:pt idx="2">
                  <c:v>9.4897394815540199</c:v>
                </c:pt>
                <c:pt idx="3">
                  <c:v>7.3118917090987896</c:v>
                </c:pt>
                <c:pt idx="4">
                  <c:v>0.10730077604073439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6C-4D26-926E-A9BAE804F798}"/>
            </c:ext>
          </c:extLst>
        </c:ser>
        <c:ser>
          <c:idx val="2"/>
          <c:order val="2"/>
          <c:tx>
            <c:strRef>
              <c:f>'Va. Peajes transporte'!$A$41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transporte'!$B$41:$G$41</c:f>
              <c:numCache>
                <c:formatCode>_-* #,##0.0\ _P_t_a_-;\-* #,##0.0\ _P_t_a_-;_-* "-"??\ _P_t_a_-;_-@_-</c:formatCode>
                <c:ptCount val="6"/>
                <c:pt idx="0">
                  <c:v>16.764880165519003</c:v>
                </c:pt>
                <c:pt idx="1">
                  <c:v>17.630935298419445</c:v>
                </c:pt>
                <c:pt idx="2">
                  <c:v>8.783746457038438</c:v>
                </c:pt>
                <c:pt idx="3">
                  <c:v>6.9268460864001336</c:v>
                </c:pt>
                <c:pt idx="4">
                  <c:v>0.11017902511046831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6C-4D26-926E-A9BAE804F798}"/>
            </c:ext>
          </c:extLst>
        </c:ser>
        <c:ser>
          <c:idx val="3"/>
          <c:order val="3"/>
          <c:tx>
            <c:strRef>
              <c:f>'Va. Peajes transporte'!$A$42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transporte'!$B$42:$G$42</c:f>
              <c:numCache>
                <c:formatCode>_-* #,##0.0\ _P_t_a_-;\-* #,##0.0\ _P_t_a_-;_-* "-"??\ _P_t_a_-;_-@_-</c:formatCode>
                <c:ptCount val="6"/>
                <c:pt idx="0">
                  <c:v>11.336370365178789</c:v>
                </c:pt>
                <c:pt idx="1">
                  <c:v>12.325826154271249</c:v>
                </c:pt>
                <c:pt idx="2">
                  <c:v>6.141421511606513</c:v>
                </c:pt>
                <c:pt idx="3">
                  <c:v>4.8067393926454045</c:v>
                </c:pt>
                <c:pt idx="4">
                  <c:v>8.3335588472995978E-2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86C-4D26-926E-A9BAE804F798}"/>
            </c:ext>
          </c:extLst>
        </c:ser>
        <c:ser>
          <c:idx val="4"/>
          <c:order val="4"/>
          <c:tx>
            <c:strRef>
              <c:f>'Va. Peajes transporte'!$A$43</c:f>
              <c:strCache>
                <c:ptCount val="1"/>
                <c:pt idx="0">
                  <c:v>NT4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transporte'!$B$43:$G$43</c:f>
              <c:numCache>
                <c:formatCode>_-* #,##0.0\ _P_t_a_-;\-* #,##0.0\ _P_t_a_-;_-* "-"??\ _P_t_a_-;_-@_-</c:formatCode>
                <c:ptCount val="6"/>
                <c:pt idx="0">
                  <c:v>11.5548913840901</c:v>
                </c:pt>
                <c:pt idx="1">
                  <c:v>8.8434925842692049</c:v>
                </c:pt>
                <c:pt idx="2">
                  <c:v>4.2539340059130755</c:v>
                </c:pt>
                <c:pt idx="3">
                  <c:v>3.1314839127232488</c:v>
                </c:pt>
                <c:pt idx="4">
                  <c:v>7.5256047724794439E-2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86C-4D26-926E-A9BAE804F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6843862286590357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'Va. Peajes transporte'!$A$39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transporte'!$I$39:$N$39</c:f>
              <c:numCache>
                <c:formatCode>_-* #,##0.0\ _P_t_a_-;\-* #,##0.0\ _P_t_a_-;_-* "-"??\ _P_t_a_-;_-@_-</c:formatCode>
                <c:ptCount val="6"/>
                <c:pt idx="0">
                  <c:v>42.878641522019066</c:v>
                </c:pt>
                <c:pt idx="1">
                  <c:v>35.001585880403731</c:v>
                </c:pt>
                <c:pt idx="2">
                  <c:v>18.70877242785404</c:v>
                </c:pt>
                <c:pt idx="3">
                  <c:v>12.620159145396585</c:v>
                </c:pt>
                <c:pt idx="4">
                  <c:v>0.46991996330246233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55-4A8F-B0D9-F9BC83134835}"/>
            </c:ext>
          </c:extLst>
        </c:ser>
        <c:ser>
          <c:idx val="1"/>
          <c:order val="1"/>
          <c:tx>
            <c:strRef>
              <c:f>'Va. Peajes transporte'!$A$40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transporte'!$I$40:$N$40</c:f>
              <c:numCache>
                <c:formatCode>_-* #,##0.0\ _P_t_a_-;\-* #,##0.0\ _P_t_a_-;_-* "-"??\ _P_t_a_-;_-@_-</c:formatCode>
                <c:ptCount val="6"/>
                <c:pt idx="0">
                  <c:v>42.861653291297515</c:v>
                </c:pt>
                <c:pt idx="1">
                  <c:v>34.983887656626933</c:v>
                </c:pt>
                <c:pt idx="2">
                  <c:v>19.52721971391496</c:v>
                </c:pt>
                <c:pt idx="3">
                  <c:v>13.058650730043352</c:v>
                </c:pt>
                <c:pt idx="4">
                  <c:v>0.52177346818683734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55-4A8F-B0D9-F9BC83134835}"/>
            </c:ext>
          </c:extLst>
        </c:ser>
        <c:ser>
          <c:idx val="2"/>
          <c:order val="2"/>
          <c:tx>
            <c:strRef>
              <c:f>'Va. Peajes transporte'!$A$41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transporte'!$I$41:$N$41</c:f>
              <c:numCache>
                <c:formatCode>_-* #,##0.0\ _P_t_a_-;\-* #,##0.0\ _P_t_a_-;_-* "-"??\ _P_t_a_-;_-@_-</c:formatCode>
                <c:ptCount val="6"/>
                <c:pt idx="0">
                  <c:v>42.974154655684444</c:v>
                </c:pt>
                <c:pt idx="1">
                  <c:v>34.990251764766107</c:v>
                </c:pt>
                <c:pt idx="2">
                  <c:v>20.729940792463989</c:v>
                </c:pt>
                <c:pt idx="3">
                  <c:v>11.92226383383464</c:v>
                </c:pt>
                <c:pt idx="4">
                  <c:v>0.60584088803116187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55-4A8F-B0D9-F9BC83134835}"/>
            </c:ext>
          </c:extLst>
        </c:ser>
        <c:ser>
          <c:idx val="3"/>
          <c:order val="3"/>
          <c:tx>
            <c:strRef>
              <c:f>'Va. Peajes transporte'!$A$42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transporte'!$I$42:$N$42</c:f>
              <c:numCache>
                <c:formatCode>_-* #,##0.0\ _P_t_a_-;\-* #,##0.0\ _P_t_a_-;_-* "-"??\ _P_t_a_-;_-@_-</c:formatCode>
                <c:ptCount val="6"/>
                <c:pt idx="0">
                  <c:v>40.856574861452152</c:v>
                </c:pt>
                <c:pt idx="1">
                  <c:v>33.670721383029985</c:v>
                </c:pt>
                <c:pt idx="2">
                  <c:v>19.570523796466183</c:v>
                </c:pt>
                <c:pt idx="3">
                  <c:v>12.257135307070087</c:v>
                </c:pt>
                <c:pt idx="4">
                  <c:v>0.52996494601487676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55-4A8F-B0D9-F9BC83134835}"/>
            </c:ext>
          </c:extLst>
        </c:ser>
        <c:ser>
          <c:idx val="4"/>
          <c:order val="4"/>
          <c:tx>
            <c:strRef>
              <c:f>'Va. Peajes transporte'!$A$43</c:f>
              <c:strCache>
                <c:ptCount val="1"/>
                <c:pt idx="0">
                  <c:v>NT4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'Va. Peajes transporte'!$I$43:$N$43</c:f>
              <c:numCache>
                <c:formatCode>_-* #,##0.0\ _P_t_a_-;\-* #,##0.0\ _P_t_a_-;_-* "-"??\ _P_t_a_-;_-@_-</c:formatCode>
                <c:ptCount val="6"/>
                <c:pt idx="0">
                  <c:v>42.914154421366895</c:v>
                </c:pt>
                <c:pt idx="1">
                  <c:v>34.975738617579978</c:v>
                </c:pt>
                <c:pt idx="2">
                  <c:v>18.65524900629962</c:v>
                </c:pt>
                <c:pt idx="3">
                  <c:v>14.820406783084621</c:v>
                </c:pt>
                <c:pt idx="4">
                  <c:v>0.40980218423903386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C55-4A8F-B0D9-F9BC83134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7212821710169664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precios respecto del P6</a:t>
            </a:r>
          </a:p>
          <a:p>
            <a:pPr>
              <a:defRPr/>
            </a:pPr>
            <a:r>
              <a:rPr lang="es-ES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'Vb. Peajes distribución'!$A$39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distribución'!$B$39:$G$39</c:f>
              <c:numCache>
                <c:formatCode>_-* #,##0.0\ _P_t_a_-;\-* #,##0.0\ _P_t_a_-;_-* "-"??\ _P_t_a_-;_-@_-</c:formatCode>
                <c:ptCount val="6"/>
                <c:pt idx="0">
                  <c:v>4.4455446093567668</c:v>
                </c:pt>
                <c:pt idx="1">
                  <c:v>3.8973269897042635</c:v>
                </c:pt>
                <c:pt idx="2">
                  <c:v>1.545309844299541</c:v>
                </c:pt>
                <c:pt idx="3">
                  <c:v>1.1663770937594982</c:v>
                </c:pt>
                <c:pt idx="4">
                  <c:v>9.7530007803161827E-3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1-4016-8443-67C5F19F2511}"/>
            </c:ext>
          </c:extLst>
        </c:ser>
        <c:ser>
          <c:idx val="1"/>
          <c:order val="1"/>
          <c:tx>
            <c:strRef>
              <c:f>'Vb. Peajes distribución'!$A$40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distribución'!$B$40:$G$40</c:f>
              <c:numCache>
                <c:formatCode>_-* #,##0.0\ _P_t_a_-;\-* #,##0.0\ _P_t_a_-;_-* "-"??\ _P_t_a_-;_-@_-</c:formatCode>
                <c:ptCount val="6"/>
                <c:pt idx="0">
                  <c:v>21.738275063795122</c:v>
                </c:pt>
                <c:pt idx="1">
                  <c:v>26.790927844238826</c:v>
                </c:pt>
                <c:pt idx="2">
                  <c:v>13.34031872400209</c:v>
                </c:pt>
                <c:pt idx="3">
                  <c:v>10.040993750203636</c:v>
                </c:pt>
                <c:pt idx="4">
                  <c:v>0.10419033467874682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1-4016-8443-67C5F19F2511}"/>
            </c:ext>
          </c:extLst>
        </c:ser>
        <c:ser>
          <c:idx val="2"/>
          <c:order val="2"/>
          <c:tx>
            <c:strRef>
              <c:f>'Vb. Peajes distribución'!$A$41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distribución'!$B$41:$G$41</c:f>
              <c:numCache>
                <c:formatCode>_-* #,##0.0\ _P_t_a_-;\-* #,##0.0\ _P_t_a_-;_-* "-"??\ _P_t_a_-;_-@_-</c:formatCode>
                <c:ptCount val="6"/>
                <c:pt idx="0">
                  <c:v>22.890934824629159</c:v>
                </c:pt>
                <c:pt idx="1">
                  <c:v>23.699060033985642</c:v>
                </c:pt>
                <c:pt idx="2">
                  <c:v>10.69543177447402</c:v>
                </c:pt>
                <c:pt idx="3">
                  <c:v>11.421379260039561</c:v>
                </c:pt>
                <c:pt idx="4">
                  <c:v>0.1371057411977209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21-4016-8443-67C5F19F2511}"/>
            </c:ext>
          </c:extLst>
        </c:ser>
        <c:ser>
          <c:idx val="3"/>
          <c:order val="3"/>
          <c:tx>
            <c:strRef>
              <c:f>'Vb. Peajes distribución'!$A$42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distribución'!$B$42:$G$42</c:f>
              <c:numCache>
                <c:formatCode>_-* #,##0.0\ _P_t_a_-;\-* #,##0.0\ _P_t_a_-;_-* "-"??\ _P_t_a_-;_-@_-</c:formatCode>
                <c:ptCount val="6"/>
                <c:pt idx="0">
                  <c:v>7.539245401257646</c:v>
                </c:pt>
                <c:pt idx="1">
                  <c:v>8.5668788485935714</c:v>
                </c:pt>
                <c:pt idx="2">
                  <c:v>4.7971647007560465</c:v>
                </c:pt>
                <c:pt idx="3">
                  <c:v>1.8007522092776895</c:v>
                </c:pt>
                <c:pt idx="4">
                  <c:v>0.19652278034264109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21-4016-8443-67C5F19F2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6843862286590357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Relación de precios respecto del P6</a:t>
            </a:r>
          </a:p>
          <a:p>
            <a:pPr>
              <a:defRPr/>
            </a:pPr>
            <a:r>
              <a:rPr lang="es-ES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'Vb. Peajes distribución'!$A$39</c:f>
              <c:strCache>
                <c:ptCount val="1"/>
                <c:pt idx="0">
                  <c:v>NT0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distribución'!$I$39:$N$39</c:f>
              <c:numCache>
                <c:formatCode>_-* #,##0.0\ _P_t_a_-;\-* #,##0.0\ _P_t_a_-;_-* "-"??\ _P_t_a_-;_-@_-</c:formatCode>
                <c:ptCount val="6"/>
                <c:pt idx="0">
                  <c:v>56.305746571318863</c:v>
                </c:pt>
                <c:pt idx="1">
                  <c:v>46.290580535072081</c:v>
                </c:pt>
                <c:pt idx="2">
                  <c:v>25.472866649871346</c:v>
                </c:pt>
                <c:pt idx="3">
                  <c:v>17.161568452528268</c:v>
                </c:pt>
                <c:pt idx="4">
                  <c:v>0.41952884103936439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F-40FF-A9D3-8FE3657CA624}"/>
            </c:ext>
          </c:extLst>
        </c:ser>
        <c:ser>
          <c:idx val="1"/>
          <c:order val="1"/>
          <c:tx>
            <c:strRef>
              <c:f>'Vb. Peajes distribución'!$A$40</c:f>
              <c:strCache>
                <c:ptCount val="1"/>
                <c:pt idx="0">
                  <c:v>NT1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distribución'!$I$40:$N$40</c:f>
              <c:numCache>
                <c:formatCode>_-* #,##0.0\ _P_t_a_-;\-* #,##0.0\ _P_t_a_-;_-* "-"??\ _P_t_a_-;_-@_-</c:formatCode>
                <c:ptCount val="6"/>
                <c:pt idx="0">
                  <c:v>56.283216338614814</c:v>
                </c:pt>
                <c:pt idx="1">
                  <c:v>46.266994350772151</c:v>
                </c:pt>
                <c:pt idx="2">
                  <c:v>26.587449299169929</c:v>
                </c:pt>
                <c:pt idx="3">
                  <c:v>17.757709916713186</c:v>
                </c:pt>
                <c:pt idx="4">
                  <c:v>0.46580491468667334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1F-40FF-A9D3-8FE3657CA624}"/>
            </c:ext>
          </c:extLst>
        </c:ser>
        <c:ser>
          <c:idx val="2"/>
          <c:order val="2"/>
          <c:tx>
            <c:strRef>
              <c:f>'Vb. Peajes distribución'!$A$41</c:f>
              <c:strCache>
                <c:ptCount val="1"/>
                <c:pt idx="0">
                  <c:v>NT2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distribución'!$I$41:$N$41</c:f>
              <c:numCache>
                <c:formatCode>_-* #,##0.0\ _P_t_a_-;\-* #,##0.0\ _P_t_a_-;_-* "-"??\ _P_t_a_-;_-@_-</c:formatCode>
                <c:ptCount val="6"/>
                <c:pt idx="0">
                  <c:v>58.27632075420042</c:v>
                </c:pt>
                <c:pt idx="1">
                  <c:v>48.139324293303297</c:v>
                </c:pt>
                <c:pt idx="2">
                  <c:v>26.024933762405869</c:v>
                </c:pt>
                <c:pt idx="3">
                  <c:v>20.565315114806385</c:v>
                </c:pt>
                <c:pt idx="4">
                  <c:v>0.72473939963261091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1F-40FF-A9D3-8FE3657CA624}"/>
            </c:ext>
          </c:extLst>
        </c:ser>
        <c:ser>
          <c:idx val="3"/>
          <c:order val="3"/>
          <c:tx>
            <c:strRef>
              <c:f>'Vb. Peajes distribución'!$A$42</c:f>
              <c:strCache>
                <c:ptCount val="1"/>
                <c:pt idx="0">
                  <c:v>NT3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'Vb. Peajes distribución'!$I$42:$N$42</c:f>
              <c:numCache>
                <c:formatCode>_-* #,##0.0\ _P_t_a_-;\-* #,##0.0\ _P_t_a_-;_-* "-"??\ _P_t_a_-;_-@_-</c:formatCode>
                <c:ptCount val="6"/>
                <c:pt idx="0">
                  <c:v>26.08879690081093</c:v>
                </c:pt>
                <c:pt idx="1">
                  <c:v>22.305652718792366</c:v>
                </c:pt>
                <c:pt idx="2">
                  <c:v>13.928489220803804</c:v>
                </c:pt>
                <c:pt idx="3">
                  <c:v>4.4722735440106476</c:v>
                </c:pt>
                <c:pt idx="4">
                  <c:v>1.0580823688040013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1F-40FF-A9D3-8FE3657CA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72128217101696646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potencia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'VII. Peajes T&amp;D'!$A$45</c:f>
              <c:strCache>
                <c:ptCount val="1"/>
                <c:pt idx="0">
                  <c:v>3.0 TD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T&amp;D'!$B$45:$G$45</c:f>
              <c:numCache>
                <c:formatCode>_-* #,##0.0\ _P_t_a_-;\-* #,##0.0\ _P_t_a_-;_-* "-"??\ _P_t_a_-;_-@_-</c:formatCode>
                <c:ptCount val="6"/>
                <c:pt idx="0">
                  <c:v>9.3459312293101462</c:v>
                </c:pt>
                <c:pt idx="1">
                  <c:v>8.1512495624905945</c:v>
                </c:pt>
                <c:pt idx="2">
                  <c:v>3.2850049829315666</c:v>
                </c:pt>
                <c:pt idx="3">
                  <c:v>2.4961316598283094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FF-43B6-8C13-4F9946CC7DE1}"/>
            </c:ext>
          </c:extLst>
        </c:ser>
        <c:ser>
          <c:idx val="1"/>
          <c:order val="1"/>
          <c:tx>
            <c:strRef>
              <c:f>'VII. Peajes T&amp;D'!$A$46</c:f>
              <c:strCache>
                <c:ptCount val="1"/>
                <c:pt idx="0">
                  <c:v>6.1 TD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T&amp;D'!$B$46:$G$46</c:f>
              <c:numCache>
                <c:formatCode>_-* #,##0.0\ _P_t_a_-;\-* #,##0.0\ _P_t_a_-;_-* "-"??\ _P_t_a_-;_-@_-</c:formatCode>
                <c:ptCount val="6"/>
                <c:pt idx="0">
                  <c:v>36.455686001392891</c:v>
                </c:pt>
                <c:pt idx="1">
                  <c:v>36.455686001392891</c:v>
                </c:pt>
                <c:pt idx="2">
                  <c:v>19.875775544721918</c:v>
                </c:pt>
                <c:pt idx="3">
                  <c:v>15.054997512685304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FF-43B6-8C13-4F9946CC7DE1}"/>
            </c:ext>
          </c:extLst>
        </c:ser>
        <c:ser>
          <c:idx val="3"/>
          <c:order val="3"/>
          <c:tx>
            <c:strRef>
              <c:f>'VII. Peajes T&amp;D'!$A$48</c:f>
              <c:strCache>
                <c:ptCount val="1"/>
                <c:pt idx="0">
                  <c:v>6.3 TD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T&amp;D'!$B$48:$G$48</c:f>
              <c:numCache>
                <c:formatCode>_-* #,##0.0\ _P_t_a_-;\-* #,##0.0\ _P_t_a_-;_-* "-"??\ _P_t_a_-;_-@_-</c:formatCode>
                <c:ptCount val="6"/>
                <c:pt idx="0">
                  <c:v>15.703358317127558</c:v>
                </c:pt>
                <c:pt idx="1">
                  <c:v>15.703358317127558</c:v>
                </c:pt>
                <c:pt idx="2">
                  <c:v>8.6863324594489981</c:v>
                </c:pt>
                <c:pt idx="3">
                  <c:v>5.0787044364386258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FF-43B6-8C13-4F9946CC7DE1}"/>
            </c:ext>
          </c:extLst>
        </c:ser>
        <c:ser>
          <c:idx val="4"/>
          <c:order val="4"/>
          <c:tx>
            <c:strRef>
              <c:f>'VII. Peajes T&amp;D'!$A$49</c:f>
              <c:strCache>
                <c:ptCount val="1"/>
                <c:pt idx="0">
                  <c:v>6.4 TD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T&amp;D'!$B$49:$G$49</c:f>
              <c:numCache>
                <c:formatCode>_-* #,##0.0\ _P_t_a_-;\-* #,##0.0\ _P_t_a_-;_-* "-"??\ _P_t_a_-;_-@_-</c:formatCode>
                <c:ptCount val="6"/>
                <c:pt idx="0">
                  <c:v>19.530349163068998</c:v>
                </c:pt>
                <c:pt idx="1">
                  <c:v>14.947477845944103</c:v>
                </c:pt>
                <c:pt idx="2">
                  <c:v>7.1900988411724605</c:v>
                </c:pt>
                <c:pt idx="3">
                  <c:v>5.2929069150950543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4FF-43B6-8C13-4F9946CC7D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  <c:extLst>
          <c:ext xmlns:c15="http://schemas.microsoft.com/office/drawing/2012/chart" uri="{02D57815-91ED-43cb-92C2-25804820EDAC}">
            <c15:filteredLine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'VII. Peajes T&amp;D'!$A$47</c15:sqref>
                        </c15:formulaRef>
                      </c:ext>
                    </c:extLst>
                    <c:strCache>
                      <c:ptCount val="1"/>
                      <c:pt idx="0">
                        <c:v>6.2 TD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val>
                  <c:numRef>
                    <c:extLst>
                      <c:ext uri="{02D57815-91ED-43cb-92C2-25804820EDAC}">
                        <c15:formulaRef>
                          <c15:sqref>'VII. Peajes T&amp;D'!$B$47:$G$47</c15:sqref>
                        </c15:formulaRef>
                      </c:ext>
                    </c:extLst>
                    <c:numCache>
                      <c:formatCode>_-* #,##0.0\ _P_t_a_-;\-* #,##0.0\ _P_t_a_-;_-* "-"??\ _P_t_a_-;_-@_-</c:formatCode>
                      <c:ptCount val="6"/>
                      <c:pt idx="0">
                        <c:v>32.484215406527966</c:v>
                      </c:pt>
                      <c:pt idx="1">
                        <c:v>32.484215406527966</c:v>
                      </c:pt>
                      <c:pt idx="2">
                        <c:v>15.8896392843999</c:v>
                      </c:pt>
                      <c:pt idx="3">
                        <c:v>14.455320399764846</c:v>
                      </c:pt>
                      <c:pt idx="4">
                        <c:v>1</c:v>
                      </c:pt>
                      <c:pt idx="5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44FF-43B6-8C13-4F9946CC7DE1}"/>
                  </c:ext>
                </c:extLst>
              </c15:ser>
            </c15:filteredLineSeries>
          </c:ext>
        </c:extLst>
      </c:lineChart>
      <c:catAx>
        <c:axId val="1949759039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402606810254579"/>
          <c:y val="0.90161239522479042"/>
          <c:w val="0.43744661546936264"/>
          <c:h val="7.25811531623063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b="1"/>
              <a:t>Relación de precios respecto del P6</a:t>
            </a:r>
          </a:p>
          <a:p>
            <a:pPr>
              <a:defRPr b="1"/>
            </a:pPr>
            <a:r>
              <a:rPr lang="es-ES" b="1"/>
              <a:t>Término de energía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'VII. Peajes T&amp;D'!$A$45</c:f>
              <c:strCache>
                <c:ptCount val="1"/>
                <c:pt idx="0">
                  <c:v>3.0 TD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T&amp;D'!$I$45:$N$45</c:f>
              <c:numCache>
                <c:formatCode>_-* #,##0.0\ _P_t_a_-;\-* #,##0.0\ _P_t_a_-;_-* "-"??\ _P_t_a_-;_-@_-</c:formatCode>
                <c:ptCount val="6"/>
                <c:pt idx="0">
                  <c:v>55.302180685358259</c:v>
                </c:pt>
                <c:pt idx="1">
                  <c:v>45.380062305295951</c:v>
                </c:pt>
                <c:pt idx="2">
                  <c:v>24.781931464174455</c:v>
                </c:pt>
                <c:pt idx="3">
                  <c:v>16.700934579439252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D4-4E60-8E80-16677E77D9BE}"/>
            </c:ext>
          </c:extLst>
        </c:ser>
        <c:ser>
          <c:idx val="1"/>
          <c:order val="1"/>
          <c:tx>
            <c:strRef>
              <c:f>'VII. Peajes T&amp;D'!$A$46</c:f>
              <c:strCache>
                <c:ptCount val="1"/>
                <c:pt idx="0">
                  <c:v>6.1 TD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T&amp;D'!$I$46:$N$46</c:f>
              <c:numCache>
                <c:formatCode>_-* #,##0.0\ _P_t_a_-;\-* #,##0.0\ _P_t_a_-;_-* "-"??\ _P_t_a_-;_-@_-</c:formatCode>
                <c:ptCount val="6"/>
                <c:pt idx="0">
                  <c:v>55.123809523809527</c:v>
                </c:pt>
                <c:pt idx="1">
                  <c:v>45.228571428571428</c:v>
                </c:pt>
                <c:pt idx="2">
                  <c:v>25.790476190476188</c:v>
                </c:pt>
                <c:pt idx="3">
                  <c:v>17.231746031746031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D4-4E60-8E80-16677E77D9BE}"/>
            </c:ext>
          </c:extLst>
        </c:ser>
        <c:ser>
          <c:idx val="2"/>
          <c:order val="2"/>
          <c:tx>
            <c:strRef>
              <c:f>'VII. Peajes T&amp;D'!$A$47</c:f>
              <c:strCache>
                <c:ptCount val="1"/>
                <c:pt idx="0">
                  <c:v>6.2 TD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T&amp;D'!$I$47:$N$47</c:f>
              <c:numCache>
                <c:formatCode>_-* #,##0.0\ _P_t_a_-;\-* #,##0.0\ _P_t_a_-;_-* "-"??\ _P_t_a_-;_-@_-</c:formatCode>
                <c:ptCount val="6"/>
                <c:pt idx="0">
                  <c:v>52.689655172413801</c:v>
                </c:pt>
                <c:pt idx="1">
                  <c:v>43.270114942528735</c:v>
                </c:pt>
                <c:pt idx="2">
                  <c:v>24.298850574712642</c:v>
                </c:pt>
                <c:pt idx="3">
                  <c:v>16.977011494252874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D4-4E60-8E80-16677E77D9BE}"/>
            </c:ext>
          </c:extLst>
        </c:ser>
        <c:ser>
          <c:idx val="3"/>
          <c:order val="3"/>
          <c:tx>
            <c:strRef>
              <c:f>'VII. Peajes T&amp;D'!$A$48</c:f>
              <c:strCache>
                <c:ptCount val="1"/>
                <c:pt idx="0">
                  <c:v>6.3 TD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T&amp;D'!$I$48:$N$48</c:f>
              <c:numCache>
                <c:formatCode>_-* #,##0.0\ _P_t_a_-;\-* #,##0.0\ _P_t_a_-;_-* "-"??\ _P_t_a_-;_-@_-</c:formatCode>
                <c:ptCount val="6"/>
                <c:pt idx="0">
                  <c:v>33.080851063829783</c:v>
                </c:pt>
                <c:pt idx="1">
                  <c:v>27.723404255319149</c:v>
                </c:pt>
                <c:pt idx="2">
                  <c:v>16.668085106382982</c:v>
                </c:pt>
                <c:pt idx="3">
                  <c:v>8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D4-4E60-8E80-16677E77D9BE}"/>
            </c:ext>
          </c:extLst>
        </c:ser>
        <c:ser>
          <c:idx val="4"/>
          <c:order val="4"/>
          <c:tx>
            <c:strRef>
              <c:f>'VII. Peajes T&amp;D'!$A$49</c:f>
              <c:strCache>
                <c:ptCount val="1"/>
                <c:pt idx="0">
                  <c:v>6.4 TD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'VII. Peajes T&amp;D'!$I$49:$N$49</c:f>
              <c:numCache>
                <c:formatCode>_-* #,##0.0\ _P_t_a_-;\-* #,##0.0\ _P_t_a_-;_-* "-"??\ _P_t_a_-;_-@_-</c:formatCode>
                <c:ptCount val="6"/>
                <c:pt idx="0">
                  <c:v>45.166666666666671</c:v>
                </c:pt>
                <c:pt idx="1">
                  <c:v>36.814102564102562</c:v>
                </c:pt>
                <c:pt idx="2">
                  <c:v>19.634615384615387</c:v>
                </c:pt>
                <c:pt idx="3">
                  <c:v>15.596153846153845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D4-4E60-8E80-16677E77D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9759039"/>
        <c:axId val="1906783167"/>
      </c:lineChart>
      <c:catAx>
        <c:axId val="194975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06783167"/>
        <c:crosses val="autoZero"/>
        <c:auto val="1"/>
        <c:lblAlgn val="ctr"/>
        <c:lblOffset val="100"/>
        <c:noMultiLvlLbl val="0"/>
      </c:catAx>
      <c:valAx>
        <c:axId val="1906783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\ _P_t_a_-;\-* #,##0.0\ _P_t_a_-;_-* &quot;-&quot;??\ _P_t_a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497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298525567739615"/>
          <c:y val="0.90161239522479042"/>
          <c:w val="0.6238234395721437"/>
          <c:h val="7.3771008132180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tiff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942086</xdr:colOff>
      <xdr:row>3</xdr:row>
      <xdr:rowOff>99441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2FD827-92F2-4E6F-82D2-3188734E35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50</xdr:row>
      <xdr:rowOff>38100</xdr:rowOff>
    </xdr:from>
    <xdr:to>
      <xdr:col>6</xdr:col>
      <xdr:colOff>847724</xdr:colOff>
      <xdr:row>68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162260A-632B-4D6A-AC43-F36BB88A6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9525</xdr:colOff>
      <xdr:row>50</xdr:row>
      <xdr:rowOff>19050</xdr:rowOff>
    </xdr:from>
    <xdr:to>
      <xdr:col>14</xdr:col>
      <xdr:colOff>19051</xdr:colOff>
      <xdr:row>68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7C8279A-AA3C-4590-85F6-34090874CB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255651</xdr:colOff>
      <xdr:row>3</xdr:row>
      <xdr:rowOff>91821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D47433F-B7D1-4FC5-BFB9-02E342EBB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91821</xdr:colOff>
      <xdr:row>3</xdr:row>
      <xdr:rowOff>91821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205B3A-5862-449C-BFEC-1F2E005F7D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76581</xdr:colOff>
      <xdr:row>3</xdr:row>
      <xdr:rowOff>91821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083739-963E-492E-ADCE-73840ACEE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665226</xdr:colOff>
      <xdr:row>3</xdr:row>
      <xdr:rowOff>95631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90DD387-D7BF-4F3B-859C-78455BA161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</xdr:rowOff>
    </xdr:from>
    <xdr:to>
      <xdr:col>6</xdr:col>
      <xdr:colOff>703326</xdr:colOff>
      <xdr:row>3</xdr:row>
      <xdr:rowOff>107061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E1FC56-A208-417E-ABF7-0626A95B03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"/>
          <a:ext cx="6084951" cy="60236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270891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99B9EBE-BF2E-41F3-80F1-EED7D4ADD9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272796</xdr:colOff>
      <xdr:row>3</xdr:row>
      <xdr:rowOff>86106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0F76AEC-DDAF-4146-BD6E-DB52A211C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423291</xdr:colOff>
      <xdr:row>3</xdr:row>
      <xdr:rowOff>84201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5DDF65-C2FD-4327-A922-9688380DD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44</xdr:row>
      <xdr:rowOff>38100</xdr:rowOff>
    </xdr:from>
    <xdr:to>
      <xdr:col>6</xdr:col>
      <xdr:colOff>847724</xdr:colOff>
      <xdr:row>62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8B4EEA2-BCA1-4DB9-9E7E-0835BB88EB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44</xdr:row>
      <xdr:rowOff>38100</xdr:rowOff>
    </xdr:from>
    <xdr:to>
      <xdr:col>14</xdr:col>
      <xdr:colOff>28575</xdr:colOff>
      <xdr:row>62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85566C9-AEA0-4EBF-AB0B-164DAB27D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248031</xdr:colOff>
      <xdr:row>3</xdr:row>
      <xdr:rowOff>91821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2B7086-6E8F-4758-87D5-DCF3DED0A2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44</xdr:row>
      <xdr:rowOff>38100</xdr:rowOff>
    </xdr:from>
    <xdr:to>
      <xdr:col>6</xdr:col>
      <xdr:colOff>847724</xdr:colOff>
      <xdr:row>62</xdr:row>
      <xdr:rowOff>76200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A30CC31-0BB4-4B6E-8BED-26AEAAA22E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133350</xdr:colOff>
      <xdr:row>44</xdr:row>
      <xdr:rowOff>38100</xdr:rowOff>
    </xdr:from>
    <xdr:to>
      <xdr:col>14</xdr:col>
      <xdr:colOff>66675</xdr:colOff>
      <xdr:row>62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8DB5764-E4DD-495B-A58D-8EA4BF1B51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211836</xdr:colOff>
      <xdr:row>3</xdr:row>
      <xdr:rowOff>91821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9F650D-6738-4F42-8DB6-4D33AD658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25146</xdr:colOff>
      <xdr:row>3</xdr:row>
      <xdr:rowOff>95631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4668AB5-A03F-4663-8AAC-DB12ADDDC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19216" cy="5699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SCENARIO%202006-%20(Previsi&#243;n%20CNE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SR\Electricidad\Tarifas\Expediente%20Tarifas%202007\Costes\Preliminar\ESCENARIO%202006-%20(RD%201556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AMETROS BÁSICOS"/>
      <sheetName val="Portada"/>
      <sheetName val="Hipótesis"/>
      <sheetName val="Demanda"/>
      <sheetName val="Cobertura"/>
      <sheetName val="Ciclos"/>
      <sheetName val="Compensación Extrapeninsular"/>
      <sheetName val="Margen de Distribuidores"/>
      <sheetName val="DÉFICIT"/>
      <sheetName val="ESCENARIO (Miles €)"/>
      <sheetName val="ESCENARIO (Miles €) (2)"/>
      <sheetName val="DATOS ADICIONALES (€) - TOTAL"/>
      <sheetName val="DATOS ADICIONALES (€) - PENINSU"/>
      <sheetName val="DATOS ADICIONALES (€) - EXTRAPE"/>
      <sheetName val="CENTRAL TIPO CICLOS COMBINADOS"/>
      <sheetName val="PARAMAMETROS_BÁSICOS"/>
      <sheetName val="Compensación_Extrapeninsular"/>
      <sheetName val="Margen_de_Distribuidores"/>
      <sheetName val="ESCENARIO_(Miles_€)"/>
      <sheetName val="ESCENARIO_(Miles_€)_(2)"/>
      <sheetName val="DATOS_ADICIONALES_(€)_-_TOTAL"/>
      <sheetName val="DATOS_ADICIONALES_(€)_-_PENINSU"/>
      <sheetName val="DATOS_ADICIONALES_(€)_-_EXTRAPE"/>
      <sheetName val="CENTRAL_TIPO_CICLOS_COMBIN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AMETROS BÁSICOS"/>
      <sheetName val="Portada"/>
      <sheetName val="Incidencias"/>
      <sheetName val="Demanda"/>
      <sheetName val="Cobertura"/>
      <sheetName val="Cuotas"/>
      <sheetName val="Desvío Régimen Especial"/>
      <sheetName val="Compensación Extrapeninsular"/>
      <sheetName val="DÉFICIT 2001 y 2003"/>
      <sheetName val="ESCENARIO (Miles €)"/>
      <sheetName val="ESCENARIO (Miles €) (2)"/>
      <sheetName val="DATOS ADICIONALES (€) - TOTAL"/>
      <sheetName val="DATOS ADICIONALES (€) - PENINSU"/>
      <sheetName val="DATOS ADICIONALES (€) - EXTRAPE"/>
      <sheetName val="COSTE PENINSULAR"/>
      <sheetName val="Ciclos"/>
      <sheetName val="CENTRAL TIPO CICLOS COMBINADOS"/>
      <sheetName val="Previsión Grupo a y d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6:P153"/>
  <sheetViews>
    <sheetView showGridLines="0" tabSelected="1" zoomScaleNormal="100" zoomScaleSheetLayoutView="115" workbookViewId="0">
      <selection activeCell="D12" sqref="D12"/>
    </sheetView>
  </sheetViews>
  <sheetFormatPr baseColWidth="10" defaultColWidth="11.42578125" defaultRowHeight="12.75" x14ac:dyDescent="0.2"/>
  <cols>
    <col min="1" max="2" width="20.42578125" style="1" customWidth="1"/>
    <col min="3" max="3" width="18.42578125" style="1" bestFit="1" customWidth="1"/>
    <col min="4" max="4" width="15.140625" style="1" customWidth="1"/>
    <col min="5" max="5" width="17.28515625" style="1" customWidth="1"/>
    <col min="6" max="6" width="14.5703125" style="1" customWidth="1"/>
    <col min="7" max="7" width="12.7109375" style="1" customWidth="1"/>
    <col min="8" max="8" width="13.7109375" style="1" customWidth="1"/>
    <col min="9" max="9" width="12.7109375" style="1" customWidth="1"/>
    <col min="10" max="10" width="8.85546875" style="1" customWidth="1"/>
    <col min="11" max="11" width="17.5703125" style="1" customWidth="1"/>
    <col min="12" max="16384" width="11.42578125" style="1"/>
  </cols>
  <sheetData>
    <row r="6" spans="1:8" s="4" customFormat="1" ht="30" customHeight="1" x14ac:dyDescent="0.2">
      <c r="A6" s="385" t="s">
        <v>184</v>
      </c>
      <c r="B6" s="385"/>
    </row>
    <row r="7" spans="1:8" ht="5.0999999999999996" customHeight="1" x14ac:dyDescent="0.2"/>
    <row r="8" spans="1:8" s="2" customFormat="1" ht="19.5" customHeight="1" x14ac:dyDescent="0.2">
      <c r="A8" s="5" t="s">
        <v>108</v>
      </c>
      <c r="B8" s="5"/>
    </row>
    <row r="9" spans="1:8" ht="5.0999999999999996" customHeight="1" x14ac:dyDescent="0.2">
      <c r="D9" s="2"/>
      <c r="E9" s="2"/>
      <c r="F9" s="2"/>
      <c r="G9" s="2"/>
      <c r="H9" s="2"/>
    </row>
    <row r="10" spans="1:8" s="2" customFormat="1" ht="19.5" customHeight="1" x14ac:dyDescent="0.2">
      <c r="A10" s="5" t="s">
        <v>109</v>
      </c>
      <c r="B10" s="5"/>
    </row>
    <row r="11" spans="1:8" ht="13.5" thickBot="1" x14ac:dyDescent="0.25">
      <c r="D11" s="2"/>
      <c r="E11" s="2"/>
      <c r="F11" s="2"/>
      <c r="G11" s="2"/>
      <c r="H11" s="2"/>
    </row>
    <row r="12" spans="1:8" s="25" customFormat="1" ht="53.45" customHeight="1" thickBot="1" x14ac:dyDescent="0.25">
      <c r="C12" s="50" t="s">
        <v>229</v>
      </c>
      <c r="D12" s="2"/>
      <c r="E12" s="2"/>
      <c r="F12" s="2"/>
      <c r="G12" s="2"/>
    </row>
    <row r="13" spans="1:8" s="25" customFormat="1" ht="7.5" customHeight="1" thickBot="1" x14ac:dyDescent="0.25">
      <c r="C13" s="43"/>
      <c r="D13" s="2"/>
      <c r="E13" s="2"/>
      <c r="F13" s="2"/>
      <c r="G13" s="2"/>
    </row>
    <row r="14" spans="1:8" s="26" customFormat="1" ht="34.5" customHeight="1" x14ac:dyDescent="0.2">
      <c r="A14" s="574" t="s">
        <v>36</v>
      </c>
      <c r="B14" s="575"/>
      <c r="C14" s="51">
        <f>C15+C18+C19</f>
        <v>1413259.7026135037</v>
      </c>
      <c r="D14" s="507"/>
      <c r="E14" s="322"/>
      <c r="F14" s="322"/>
      <c r="G14" s="2"/>
    </row>
    <row r="15" spans="1:8" s="27" customFormat="1" ht="20.100000000000001" customHeight="1" x14ac:dyDescent="0.2">
      <c r="A15" s="422" t="s">
        <v>24</v>
      </c>
      <c r="B15" s="423"/>
      <c r="C15" s="424">
        <v>1501608.9173642572</v>
      </c>
      <c r="D15" s="2"/>
      <c r="E15" s="2"/>
      <c r="F15" s="2"/>
      <c r="G15" s="2"/>
    </row>
    <row r="16" spans="1:8" s="28" customFormat="1" ht="20.100000000000001" customHeight="1" x14ac:dyDescent="0.2">
      <c r="A16" s="425" t="s">
        <v>24</v>
      </c>
      <c r="B16" s="426"/>
      <c r="C16" s="427"/>
      <c r="D16" s="2"/>
      <c r="E16" s="2"/>
      <c r="F16" s="2"/>
      <c r="G16" s="2"/>
    </row>
    <row r="17" spans="1:9" s="28" customFormat="1" ht="20.100000000000001" customHeight="1" x14ac:dyDescent="0.2">
      <c r="A17" s="425" t="s">
        <v>30</v>
      </c>
      <c r="B17" s="426"/>
      <c r="C17" s="427"/>
      <c r="D17" s="2"/>
      <c r="E17" s="2"/>
      <c r="F17" s="2"/>
      <c r="G17" s="2"/>
    </row>
    <row r="18" spans="1:9" s="27" customFormat="1" ht="20.100000000000001" customHeight="1" x14ac:dyDescent="0.2">
      <c r="A18" s="428" t="s">
        <v>25</v>
      </c>
      <c r="B18" s="429"/>
      <c r="C18" s="430">
        <v>-88349.214750753497</v>
      </c>
      <c r="D18" s="2"/>
      <c r="E18" s="322"/>
      <c r="F18" s="570"/>
      <c r="G18" s="2"/>
    </row>
    <row r="19" spans="1:9" s="27" customFormat="1" ht="20.100000000000001" customHeight="1" x14ac:dyDescent="0.2">
      <c r="A19" s="428" t="s">
        <v>26</v>
      </c>
      <c r="B19" s="429"/>
      <c r="C19" s="430">
        <f>SUM(C20:C22)</f>
        <v>0</v>
      </c>
      <c r="D19" s="2"/>
      <c r="E19" s="2"/>
      <c r="F19" s="2"/>
      <c r="G19" s="2"/>
    </row>
    <row r="20" spans="1:9" s="27" customFormat="1" ht="20.100000000000001" customHeight="1" x14ac:dyDescent="0.2">
      <c r="A20" s="425" t="s">
        <v>228</v>
      </c>
      <c r="B20" s="429"/>
      <c r="C20" s="431"/>
      <c r="D20" s="2"/>
      <c r="E20" s="2"/>
      <c r="F20" s="2"/>
      <c r="G20" s="2"/>
    </row>
    <row r="21" spans="1:9" s="27" customFormat="1" ht="20.100000000000001" customHeight="1" x14ac:dyDescent="0.2">
      <c r="A21" s="425" t="s">
        <v>132</v>
      </c>
      <c r="B21" s="429"/>
      <c r="C21" s="432" t="s">
        <v>27</v>
      </c>
      <c r="D21" s="2"/>
      <c r="E21" s="2"/>
      <c r="F21" s="2"/>
      <c r="G21" s="2"/>
    </row>
    <row r="22" spans="1:9" s="27" customFormat="1" ht="20.100000000000001" customHeight="1" thickBot="1" x14ac:dyDescent="0.25">
      <c r="A22" s="433" t="s">
        <v>28</v>
      </c>
      <c r="B22" s="434"/>
      <c r="C22" s="435" t="s">
        <v>27</v>
      </c>
      <c r="D22" s="2"/>
      <c r="E22" s="2"/>
      <c r="F22" s="2"/>
      <c r="G22" s="2"/>
    </row>
    <row r="23" spans="1:9" s="27" customFormat="1" x14ac:dyDescent="0.2">
      <c r="A23" s="231" t="s">
        <v>230</v>
      </c>
      <c r="B23" s="201"/>
      <c r="C23" s="202"/>
      <c r="D23" s="2"/>
      <c r="E23" s="2"/>
      <c r="F23" s="2"/>
      <c r="G23" s="2"/>
    </row>
    <row r="24" spans="1:9" s="25" customFormat="1" x14ac:dyDescent="0.2">
      <c r="B24" s="43"/>
      <c r="D24" s="2"/>
      <c r="E24" s="2"/>
      <c r="F24" s="2"/>
      <c r="G24" s="2"/>
    </row>
    <row r="25" spans="1:9" s="25" customFormat="1" ht="15.75" x14ac:dyDescent="0.2">
      <c r="A25" s="5" t="s">
        <v>110</v>
      </c>
      <c r="B25" s="44"/>
      <c r="C25" s="2"/>
      <c r="D25" s="2"/>
      <c r="E25" s="2"/>
      <c r="F25" s="2"/>
      <c r="G25" s="2"/>
    </row>
    <row r="26" spans="1:9" s="25" customFormat="1" ht="13.5" thickBot="1" x14ac:dyDescent="0.25">
      <c r="B26" s="43"/>
      <c r="D26" s="2"/>
      <c r="E26" s="2"/>
      <c r="F26" s="2"/>
    </row>
    <row r="27" spans="1:9" s="25" customFormat="1" ht="48.6" customHeight="1" thickBot="1" x14ac:dyDescent="0.25">
      <c r="C27" s="50" t="s">
        <v>229</v>
      </c>
      <c r="D27" s="2"/>
      <c r="E27" s="2"/>
      <c r="F27" s="2"/>
      <c r="G27" s="2"/>
    </row>
    <row r="28" spans="1:9" s="25" customFormat="1" ht="7.5" customHeight="1" thickBot="1" x14ac:dyDescent="0.25">
      <c r="C28" s="43"/>
      <c r="D28" s="2"/>
      <c r="E28" s="2"/>
      <c r="F28" s="2"/>
      <c r="G28" s="2"/>
    </row>
    <row r="29" spans="1:9" s="26" customFormat="1" ht="39.75" customHeight="1" x14ac:dyDescent="0.2">
      <c r="A29" s="576" t="s">
        <v>33</v>
      </c>
      <c r="B29" s="577"/>
      <c r="C29" s="52">
        <f>C30+C33</f>
        <v>5255587.2174994722</v>
      </c>
      <c r="D29" s="2"/>
      <c r="E29" s="507"/>
      <c r="F29" s="322"/>
      <c r="H29" s="41"/>
    </row>
    <row r="30" spans="1:9" s="27" customFormat="1" ht="20.100000000000001" customHeight="1" x14ac:dyDescent="0.2">
      <c r="A30" s="422" t="s">
        <v>32</v>
      </c>
      <c r="B30" s="423"/>
      <c r="C30" s="424">
        <f>SUM(C31:C31)</f>
        <v>5255587.2174994722</v>
      </c>
      <c r="D30" s="2"/>
      <c r="E30" s="2"/>
      <c r="F30" s="2"/>
      <c r="I30" s="42"/>
    </row>
    <row r="31" spans="1:9" s="28" customFormat="1" ht="20.100000000000001" customHeight="1" x14ac:dyDescent="0.2">
      <c r="A31" s="436" t="s">
        <v>31</v>
      </c>
      <c r="B31" s="426"/>
      <c r="C31" s="427">
        <v>5255587.2174994722</v>
      </c>
      <c r="D31" s="2"/>
      <c r="E31" s="2"/>
      <c r="F31" s="2"/>
    </row>
    <row r="32" spans="1:9" s="27" customFormat="1" ht="20.100000000000001" customHeight="1" x14ac:dyDescent="0.2">
      <c r="A32" s="437" t="s">
        <v>29</v>
      </c>
      <c r="B32" s="429"/>
      <c r="C32" s="438" t="s">
        <v>27</v>
      </c>
      <c r="D32" s="2"/>
      <c r="E32" s="2"/>
      <c r="F32" s="2"/>
    </row>
    <row r="33" spans="1:8" s="27" customFormat="1" ht="20.100000000000001" customHeight="1" x14ac:dyDescent="0.2">
      <c r="A33" s="436" t="s">
        <v>35</v>
      </c>
      <c r="B33" s="429"/>
      <c r="C33" s="439"/>
      <c r="D33" s="2"/>
      <c r="E33" s="2"/>
      <c r="F33" s="2"/>
    </row>
    <row r="34" spans="1:8" s="27" customFormat="1" ht="20.100000000000001" customHeight="1" thickBot="1" x14ac:dyDescent="0.25">
      <c r="A34" s="440" t="s">
        <v>34</v>
      </c>
      <c r="B34" s="434"/>
      <c r="C34" s="441" t="s">
        <v>27</v>
      </c>
      <c r="D34" s="2"/>
      <c r="E34" s="2"/>
      <c r="F34" s="2"/>
    </row>
    <row r="35" spans="1:8" s="26" customFormat="1" x14ac:dyDescent="0.2">
      <c r="A35" s="231" t="s">
        <v>231</v>
      </c>
    </row>
    <row r="36" spans="1:8" x14ac:dyDescent="0.2">
      <c r="A36" s="13"/>
      <c r="B36" s="14"/>
      <c r="E36" s="2"/>
      <c r="F36" s="2"/>
      <c r="G36" s="2"/>
      <c r="H36" s="2"/>
    </row>
    <row r="37" spans="1:8" s="2" customFormat="1" ht="15" customHeight="1" x14ac:dyDescent="0.2">
      <c r="A37" s="5" t="s">
        <v>117</v>
      </c>
      <c r="B37" s="5"/>
    </row>
    <row r="38" spans="1:8" ht="13.5" thickBot="1" x14ac:dyDescent="0.25"/>
    <row r="39" spans="1:8" s="2" customFormat="1" ht="30.75" customHeight="1" x14ac:dyDescent="0.2">
      <c r="A39" s="443" t="s">
        <v>0</v>
      </c>
      <c r="B39" s="444" t="s">
        <v>8</v>
      </c>
      <c r="C39" s="1"/>
      <c r="D39" s="1"/>
      <c r="E39" s="1"/>
      <c r="F39" s="1"/>
      <c r="G39" s="1"/>
    </row>
    <row r="40" spans="1:8" ht="15" customHeight="1" x14ac:dyDescent="0.2">
      <c r="A40" s="61" t="s">
        <v>49</v>
      </c>
      <c r="B40" s="54">
        <v>0.38319999999999999</v>
      </c>
      <c r="D40" s="53"/>
    </row>
    <row r="41" spans="1:8" ht="15" customHeight="1" x14ac:dyDescent="0.2">
      <c r="A41" s="47" t="s">
        <v>37</v>
      </c>
      <c r="B41" s="55">
        <v>0.40570000000000001</v>
      </c>
      <c r="D41" s="53"/>
    </row>
    <row r="42" spans="1:8" ht="15" customHeight="1" x14ac:dyDescent="0.2">
      <c r="A42" s="47" t="s">
        <v>38</v>
      </c>
      <c r="B42" s="55">
        <v>0.11609999999999999</v>
      </c>
      <c r="D42" s="53"/>
    </row>
    <row r="43" spans="1:8" ht="15" customHeight="1" x14ac:dyDescent="0.2">
      <c r="A43" s="3" t="s">
        <v>39</v>
      </c>
      <c r="B43" s="55">
        <v>9.5000000000000001E-2</v>
      </c>
      <c r="D43" s="53"/>
    </row>
    <row r="44" spans="1:8" ht="15" customHeight="1" thickBot="1" x14ac:dyDescent="0.25">
      <c r="A44" s="59" t="s">
        <v>40</v>
      </c>
      <c r="B44" s="56">
        <v>0</v>
      </c>
      <c r="D44" s="53"/>
    </row>
    <row r="45" spans="1:8" ht="10.5" customHeight="1" thickBot="1" x14ac:dyDescent="0.25"/>
    <row r="46" spans="1:8" ht="15" customHeight="1" thickBot="1" x14ac:dyDescent="0.25">
      <c r="A46" s="58" t="s">
        <v>1</v>
      </c>
      <c r="B46" s="57">
        <f>SUM(B40:B44)</f>
        <v>0.99999999999999989</v>
      </c>
      <c r="D46" s="53"/>
    </row>
    <row r="47" spans="1:8" ht="20.100000000000001" customHeight="1" x14ac:dyDescent="0.2">
      <c r="A47" s="231" t="s">
        <v>115</v>
      </c>
      <c r="B47" s="16"/>
    </row>
    <row r="48" spans="1:8" x14ac:dyDescent="0.2">
      <c r="A48" s="231"/>
      <c r="B48" s="22"/>
    </row>
    <row r="49" spans="1:4" ht="14.25" customHeight="1" x14ac:dyDescent="0.2"/>
    <row r="50" spans="1:4" s="2" customFormat="1" ht="15" customHeight="1" x14ac:dyDescent="0.2">
      <c r="A50" s="5" t="s">
        <v>116</v>
      </c>
      <c r="B50" s="5"/>
    </row>
    <row r="51" spans="1:4" ht="5.0999999999999996" customHeight="1" thickBot="1" x14ac:dyDescent="0.25"/>
    <row r="52" spans="1:4" s="2" customFormat="1" ht="22.5" customHeight="1" x14ac:dyDescent="0.2">
      <c r="A52" s="580" t="s">
        <v>0</v>
      </c>
      <c r="B52" s="30" t="s">
        <v>5</v>
      </c>
      <c r="C52" s="30"/>
      <c r="D52" s="29"/>
    </row>
    <row r="53" spans="1:4" s="2" customFormat="1" ht="27" customHeight="1" x14ac:dyDescent="0.2">
      <c r="A53" s="581"/>
      <c r="B53" s="31" t="s">
        <v>6</v>
      </c>
      <c r="C53" s="31" t="s">
        <v>7</v>
      </c>
      <c r="D53" s="32" t="s">
        <v>4</v>
      </c>
    </row>
    <row r="54" spans="1:4" ht="15" customHeight="1" x14ac:dyDescent="0.2">
      <c r="A54" s="61" t="s">
        <v>49</v>
      </c>
      <c r="B54" s="19">
        <v>1</v>
      </c>
      <c r="C54" s="19">
        <f>1-B54</f>
        <v>0</v>
      </c>
      <c r="D54" s="7">
        <f>SUM(B54:C54)</f>
        <v>1</v>
      </c>
    </row>
    <row r="55" spans="1:4" ht="15" customHeight="1" x14ac:dyDescent="0.2">
      <c r="A55" s="47" t="s">
        <v>37</v>
      </c>
      <c r="B55" s="20">
        <v>0.75</v>
      </c>
      <c r="C55" s="20">
        <f>1-B55</f>
        <v>0.25</v>
      </c>
      <c r="D55" s="8">
        <f>SUM(B55:C55)</f>
        <v>1</v>
      </c>
    </row>
    <row r="56" spans="1:4" ht="15" customHeight="1" x14ac:dyDescent="0.2">
      <c r="A56" s="47" t="s">
        <v>38</v>
      </c>
      <c r="B56" s="20">
        <v>0.75</v>
      </c>
      <c r="C56" s="20">
        <f>1-B56</f>
        <v>0.25</v>
      </c>
      <c r="D56" s="8">
        <f>SUM(B56:C56)</f>
        <v>1</v>
      </c>
    </row>
    <row r="57" spans="1:4" ht="15" customHeight="1" x14ac:dyDescent="0.2">
      <c r="A57" s="3" t="s">
        <v>39</v>
      </c>
      <c r="B57" s="20">
        <v>0.75</v>
      </c>
      <c r="C57" s="20">
        <f>1-B57</f>
        <v>0.25</v>
      </c>
      <c r="D57" s="8">
        <f>SUM(B57:C57)</f>
        <v>1</v>
      </c>
    </row>
    <row r="58" spans="1:4" ht="15" customHeight="1" thickBot="1" x14ac:dyDescent="0.25">
      <c r="A58" s="59" t="s">
        <v>40</v>
      </c>
      <c r="B58" s="21">
        <v>0.75</v>
      </c>
      <c r="C58" s="21">
        <f>1-B58</f>
        <v>0.25</v>
      </c>
      <c r="D58" s="9">
        <f>SUM(B58:C58)</f>
        <v>1</v>
      </c>
    </row>
    <row r="59" spans="1:4" ht="20.100000000000001" customHeight="1" x14ac:dyDescent="0.2">
      <c r="A59" s="199" t="s">
        <v>214</v>
      </c>
      <c r="B59" s="16"/>
    </row>
    <row r="60" spans="1:4" x14ac:dyDescent="0.2">
      <c r="A60" s="199"/>
      <c r="B60" s="16"/>
    </row>
    <row r="61" spans="1:4" ht="20.100000000000001" customHeight="1" x14ac:dyDescent="0.2">
      <c r="A61" s="5" t="s">
        <v>118</v>
      </c>
      <c r="B61" s="16"/>
    </row>
    <row r="62" spans="1:4" x14ac:dyDescent="0.2">
      <c r="A62" s="15"/>
      <c r="B62" s="22"/>
    </row>
    <row r="63" spans="1:4" ht="18.75" customHeight="1" x14ac:dyDescent="0.2">
      <c r="A63" s="232" t="s">
        <v>119</v>
      </c>
      <c r="B63" s="10"/>
      <c r="C63" s="10"/>
      <c r="D63" s="10"/>
    </row>
    <row r="64" spans="1:4" ht="5.0999999999999996" customHeight="1" thickBot="1" x14ac:dyDescent="0.25">
      <c r="A64" s="232"/>
      <c r="B64" s="10"/>
      <c r="C64" s="10"/>
      <c r="D64" s="10"/>
    </row>
    <row r="65" spans="1:12" s="2" customFormat="1" ht="18.75" customHeight="1" thickBot="1" x14ac:dyDescent="0.25">
      <c r="A65" s="233" t="s">
        <v>23</v>
      </c>
      <c r="B65" s="234"/>
      <c r="C65" s="235"/>
      <c r="D65" s="235"/>
      <c r="E65" s="235"/>
      <c r="F65" s="36">
        <v>2000</v>
      </c>
    </row>
    <row r="66" spans="1:12" ht="11.25" customHeight="1" thickBot="1" x14ac:dyDescent="0.25">
      <c r="G66" s="2"/>
      <c r="H66" s="2"/>
      <c r="I66" s="2"/>
      <c r="J66" s="2"/>
      <c r="K66" s="2"/>
    </row>
    <row r="67" spans="1:12" customFormat="1" ht="21.75" customHeight="1" x14ac:dyDescent="0.2">
      <c r="A67" s="582" t="s">
        <v>3</v>
      </c>
      <c r="B67" s="30" t="s">
        <v>0</v>
      </c>
      <c r="C67" s="30"/>
      <c r="D67" s="30"/>
      <c r="E67" s="30"/>
      <c r="F67" s="29"/>
      <c r="G67" s="2"/>
      <c r="H67" s="2"/>
      <c r="I67" s="2"/>
      <c r="J67" s="2"/>
      <c r="K67" s="2"/>
    </row>
    <row r="68" spans="1:12" customFormat="1" ht="21.75" customHeight="1" x14ac:dyDescent="0.2">
      <c r="A68" s="583"/>
      <c r="B68" s="31">
        <v>0</v>
      </c>
      <c r="C68" s="31">
        <v>1</v>
      </c>
      <c r="D68" s="31">
        <v>2</v>
      </c>
      <c r="E68" s="31">
        <v>3</v>
      </c>
      <c r="F68" s="32">
        <v>4</v>
      </c>
      <c r="G68" s="2"/>
      <c r="H68" s="2"/>
      <c r="I68" s="2"/>
      <c r="J68" s="2"/>
      <c r="K68" s="2"/>
    </row>
    <row r="69" spans="1:12" customFormat="1" ht="15" customHeight="1" x14ac:dyDescent="0.2">
      <c r="A69" s="17">
        <v>1</v>
      </c>
      <c r="B69" s="557">
        <v>0.34882558720639678</v>
      </c>
      <c r="C69" s="557">
        <v>0.35199999999999998</v>
      </c>
      <c r="D69" s="557">
        <v>0.34399999999999997</v>
      </c>
      <c r="E69" s="557">
        <v>0.34699999999999998</v>
      </c>
      <c r="F69" s="558">
        <v>0.34399999999999997</v>
      </c>
      <c r="G69" s="2"/>
      <c r="H69" s="2"/>
      <c r="I69" s="2"/>
      <c r="J69" s="2"/>
      <c r="K69" s="2"/>
      <c r="L69" s="23"/>
    </row>
    <row r="70" spans="1:12" customFormat="1" ht="15" customHeight="1" x14ac:dyDescent="0.2">
      <c r="A70" s="17">
        <v>2</v>
      </c>
      <c r="B70" s="557">
        <v>0.32333833083458269</v>
      </c>
      <c r="C70" s="557">
        <v>0.33800000000000002</v>
      </c>
      <c r="D70" s="557">
        <v>0.33350000000000002</v>
      </c>
      <c r="E70" s="557">
        <v>0.34749999999999998</v>
      </c>
      <c r="F70" s="558">
        <v>0.33700000000000002</v>
      </c>
      <c r="G70" s="2"/>
      <c r="H70" s="2"/>
      <c r="I70" s="2"/>
      <c r="J70" s="2"/>
      <c r="K70" s="2"/>
      <c r="L70" s="23"/>
    </row>
    <row r="71" spans="1:12" customFormat="1" ht="15" customHeight="1" x14ac:dyDescent="0.2">
      <c r="A71" s="17">
        <v>3</v>
      </c>
      <c r="B71" s="557">
        <v>0.11344327836081959</v>
      </c>
      <c r="C71" s="557">
        <v>0.16450000000000001</v>
      </c>
      <c r="D71" s="557">
        <v>0.13450000000000001</v>
      </c>
      <c r="E71" s="557">
        <v>0.17849999999999999</v>
      </c>
      <c r="F71" s="558">
        <v>0.158</v>
      </c>
      <c r="G71" s="2"/>
      <c r="H71" s="2"/>
      <c r="I71" s="2"/>
      <c r="J71" s="2"/>
      <c r="K71" s="2"/>
      <c r="L71" s="23"/>
    </row>
    <row r="72" spans="1:12" customFormat="1" ht="15" customHeight="1" x14ac:dyDescent="0.2">
      <c r="A72" s="17">
        <v>4</v>
      </c>
      <c r="B72" s="557">
        <v>8.395802098950525E-2</v>
      </c>
      <c r="C72" s="557">
        <v>0.124</v>
      </c>
      <c r="D72" s="557">
        <v>0.17100000000000001</v>
      </c>
      <c r="E72" s="557">
        <v>6.6500000000000004E-2</v>
      </c>
      <c r="F72" s="558">
        <v>0.1235</v>
      </c>
      <c r="G72" s="2"/>
      <c r="H72" s="2"/>
      <c r="I72" s="2"/>
      <c r="J72" s="2"/>
      <c r="K72" s="2"/>
      <c r="L72" s="23"/>
    </row>
    <row r="73" spans="1:12" customFormat="1" ht="15" customHeight="1" x14ac:dyDescent="0.2">
      <c r="A73" s="17">
        <v>5</v>
      </c>
      <c r="B73" s="557">
        <v>4.9975012493753122E-4</v>
      </c>
      <c r="C73" s="557">
        <v>5.0000000000000001E-4</v>
      </c>
      <c r="D73" s="557">
        <v>5.0000000000000001E-4</v>
      </c>
      <c r="E73" s="557">
        <v>6.4999999999999997E-3</v>
      </c>
      <c r="F73" s="558">
        <v>2E-3</v>
      </c>
      <c r="G73" s="2"/>
      <c r="H73" s="2"/>
      <c r="I73" s="2"/>
      <c r="J73" s="2"/>
      <c r="K73" s="2"/>
      <c r="L73" s="23"/>
    </row>
    <row r="74" spans="1:12" customFormat="1" ht="15" customHeight="1" thickBot="1" x14ac:dyDescent="0.25">
      <c r="A74" s="18">
        <v>6</v>
      </c>
      <c r="B74" s="559">
        <v>0.12993503248375812</v>
      </c>
      <c r="C74" s="559">
        <v>2.1000000000000001E-2</v>
      </c>
      <c r="D74" s="559">
        <v>1.6500000000000001E-2</v>
      </c>
      <c r="E74" s="559">
        <v>5.3999999999999999E-2</v>
      </c>
      <c r="F74" s="560">
        <v>3.5499999999999997E-2</v>
      </c>
      <c r="G74" s="2"/>
      <c r="H74" s="2"/>
      <c r="I74" s="2"/>
      <c r="J74" s="2"/>
      <c r="K74" s="2"/>
      <c r="L74" s="23"/>
    </row>
    <row r="75" spans="1:12" customFormat="1" ht="4.5" customHeight="1" thickBot="1" x14ac:dyDescent="0.25">
      <c r="B75" s="24"/>
      <c r="C75" s="24"/>
      <c r="D75" s="24"/>
      <c r="E75" s="24"/>
      <c r="F75" s="24"/>
      <c r="G75" s="2"/>
      <c r="H75" s="2"/>
      <c r="I75" s="2"/>
      <c r="J75" s="2"/>
      <c r="K75" s="2"/>
    </row>
    <row r="76" spans="1:12" customFormat="1" ht="15" customHeight="1" thickBot="1" x14ac:dyDescent="0.25">
      <c r="A76" s="33" t="s">
        <v>1</v>
      </c>
      <c r="B76" s="34">
        <f>SUM(B69:B74)</f>
        <v>1</v>
      </c>
      <c r="C76" s="34">
        <f>SUM(C69:C74)</f>
        <v>0.99999999999999989</v>
      </c>
      <c r="D76" s="34">
        <f>SUM(D69:D74)</f>
        <v>1</v>
      </c>
      <c r="E76" s="34">
        <f>SUM(E69:E74)</f>
        <v>0.99999999999999989</v>
      </c>
      <c r="F76" s="35">
        <f>SUM(F69:F74)</f>
        <v>1.0000000000000002</v>
      </c>
      <c r="G76" s="2"/>
      <c r="H76" s="2"/>
      <c r="I76" s="2"/>
      <c r="J76" s="2"/>
      <c r="K76" s="2"/>
    </row>
    <row r="77" spans="1:12" ht="20.100000000000001" customHeight="1" x14ac:dyDescent="0.2">
      <c r="A77" s="231" t="s">
        <v>215</v>
      </c>
      <c r="B77" s="561"/>
      <c r="C77" s="37"/>
      <c r="D77" s="37"/>
      <c r="E77" s="37"/>
      <c r="F77" s="37"/>
      <c r="G77" s="2"/>
      <c r="H77" s="2"/>
      <c r="I77" s="2"/>
      <c r="J77" s="2"/>
      <c r="K77" s="2"/>
    </row>
    <row r="78" spans="1:12" x14ac:dyDescent="0.2">
      <c r="A78" s="199"/>
      <c r="B78" s="561"/>
      <c r="C78" s="37"/>
      <c r="D78" s="37"/>
      <c r="E78" s="37"/>
      <c r="F78" s="37"/>
      <c r="G78" s="2"/>
      <c r="H78" s="2"/>
      <c r="I78" s="2"/>
      <c r="J78" s="2"/>
      <c r="K78" s="2"/>
    </row>
    <row r="79" spans="1:12" ht="20.100000000000001" customHeight="1" x14ac:dyDescent="0.2">
      <c r="A79" s="232" t="s">
        <v>120</v>
      </c>
      <c r="B79" s="562"/>
    </row>
    <row r="80" spans="1:12" ht="5.0999999999999996" customHeight="1" thickBot="1" x14ac:dyDescent="0.25">
      <c r="A80" s="15"/>
      <c r="B80" s="562"/>
    </row>
    <row r="81" spans="1:11" s="2" customFormat="1" ht="15.75" customHeight="1" thickBot="1" x14ac:dyDescent="0.25">
      <c r="A81" s="233" t="s">
        <v>23</v>
      </c>
      <c r="B81" s="234"/>
      <c r="C81" s="235"/>
      <c r="D81" s="235"/>
      <c r="E81" s="235"/>
      <c r="F81" s="36">
        <f>F65</f>
        <v>2000</v>
      </c>
    </row>
    <row r="82" spans="1:11" ht="5.0999999999999996" customHeight="1" thickBot="1" x14ac:dyDescent="0.25">
      <c r="G82" s="2"/>
      <c r="H82" s="2"/>
      <c r="I82" s="2"/>
      <c r="J82" s="2"/>
      <c r="K82" s="2"/>
    </row>
    <row r="83" spans="1:11" customFormat="1" ht="18.75" customHeight="1" x14ac:dyDescent="0.2">
      <c r="A83" s="582" t="s">
        <v>3</v>
      </c>
      <c r="B83" s="30" t="s">
        <v>0</v>
      </c>
      <c r="C83" s="30"/>
      <c r="D83" s="30"/>
      <c r="E83" s="30"/>
      <c r="F83" s="29"/>
      <c r="G83" s="2"/>
      <c r="H83" s="2"/>
      <c r="I83" s="2"/>
      <c r="J83" s="2"/>
      <c r="K83" s="2"/>
    </row>
    <row r="84" spans="1:11" customFormat="1" ht="18.75" customHeight="1" x14ac:dyDescent="0.2">
      <c r="A84" s="583"/>
      <c r="B84" s="31">
        <v>0</v>
      </c>
      <c r="C84" s="31">
        <v>1</v>
      </c>
      <c r="D84" s="31">
        <v>2</v>
      </c>
      <c r="E84" s="31">
        <v>3</v>
      </c>
      <c r="F84" s="32">
        <v>4</v>
      </c>
      <c r="G84" s="2"/>
      <c r="H84" s="2"/>
      <c r="I84" s="2"/>
      <c r="J84" s="2"/>
      <c r="K84" s="2"/>
    </row>
    <row r="85" spans="1:11" customFormat="1" ht="15" customHeight="1" x14ac:dyDescent="0.2">
      <c r="A85" s="17">
        <v>1</v>
      </c>
      <c r="B85" s="557">
        <v>0.34882558720639678</v>
      </c>
      <c r="C85" s="557">
        <v>0.35199999999999998</v>
      </c>
      <c r="D85" s="557">
        <v>0.34399999999999997</v>
      </c>
      <c r="E85" s="557">
        <v>0.34699999999999998</v>
      </c>
      <c r="F85" s="558">
        <v>0.34399999999999997</v>
      </c>
      <c r="G85" s="45"/>
      <c r="H85" s="45"/>
      <c r="I85" s="45"/>
      <c r="J85" s="45"/>
      <c r="K85" s="2"/>
    </row>
    <row r="86" spans="1:11" customFormat="1" ht="15" customHeight="1" x14ac:dyDescent="0.2">
      <c r="A86" s="17">
        <v>2</v>
      </c>
      <c r="B86" s="557">
        <v>0.32333833083458269</v>
      </c>
      <c r="C86" s="557">
        <v>0.33800000000000002</v>
      </c>
      <c r="D86" s="557">
        <v>0.33350000000000002</v>
      </c>
      <c r="E86" s="557">
        <v>0.34749999999999998</v>
      </c>
      <c r="F86" s="558">
        <v>0.33700000000000002</v>
      </c>
      <c r="G86" s="2"/>
      <c r="H86" s="2"/>
      <c r="I86" s="2"/>
      <c r="J86" s="2"/>
      <c r="K86" s="2"/>
    </row>
    <row r="87" spans="1:11" customFormat="1" ht="15" customHeight="1" x14ac:dyDescent="0.2">
      <c r="A87" s="17">
        <v>3</v>
      </c>
      <c r="B87" s="557">
        <v>0.11344327836081959</v>
      </c>
      <c r="C87" s="557">
        <v>0.16450000000000001</v>
      </c>
      <c r="D87" s="557">
        <v>0.13450000000000001</v>
      </c>
      <c r="E87" s="557">
        <v>0.17849999999999999</v>
      </c>
      <c r="F87" s="558">
        <v>0.158</v>
      </c>
      <c r="G87" s="2"/>
      <c r="H87" s="2"/>
      <c r="I87" s="2"/>
      <c r="J87" s="2"/>
      <c r="K87" s="2"/>
    </row>
    <row r="88" spans="1:11" customFormat="1" ht="15" customHeight="1" x14ac:dyDescent="0.2">
      <c r="A88" s="17">
        <v>4</v>
      </c>
      <c r="B88" s="557">
        <v>8.395802098950525E-2</v>
      </c>
      <c r="C88" s="557">
        <v>0.124</v>
      </c>
      <c r="D88" s="557">
        <v>0.17100000000000001</v>
      </c>
      <c r="E88" s="557">
        <v>6.6500000000000004E-2</v>
      </c>
      <c r="F88" s="558">
        <v>0.1235</v>
      </c>
      <c r="G88" s="2"/>
      <c r="H88" s="2"/>
      <c r="I88" s="2"/>
      <c r="J88" s="2"/>
      <c r="K88" s="2"/>
    </row>
    <row r="89" spans="1:11" customFormat="1" ht="15" customHeight="1" x14ac:dyDescent="0.2">
      <c r="A89" s="17">
        <v>5</v>
      </c>
      <c r="B89" s="557">
        <v>4.9975012493753122E-4</v>
      </c>
      <c r="C89" s="557">
        <v>5.0000000000000001E-4</v>
      </c>
      <c r="D89" s="557">
        <v>5.0000000000000001E-4</v>
      </c>
      <c r="E89" s="557">
        <v>6.4999999999999997E-3</v>
      </c>
      <c r="F89" s="558">
        <v>2E-3</v>
      </c>
      <c r="G89" s="2"/>
      <c r="H89" s="2"/>
      <c r="I89" s="2"/>
      <c r="J89" s="2"/>
      <c r="K89" s="2"/>
    </row>
    <row r="90" spans="1:11" customFormat="1" ht="15" customHeight="1" thickBot="1" x14ac:dyDescent="0.25">
      <c r="A90" s="18">
        <v>6</v>
      </c>
      <c r="B90" s="559">
        <v>0.12993503248375812</v>
      </c>
      <c r="C90" s="559">
        <v>2.1000000000000001E-2</v>
      </c>
      <c r="D90" s="559">
        <v>1.6500000000000001E-2</v>
      </c>
      <c r="E90" s="559">
        <v>5.3999999999999999E-2</v>
      </c>
      <c r="F90" s="560">
        <v>3.5499999999999997E-2</v>
      </c>
      <c r="G90" s="2"/>
      <c r="H90" s="2"/>
      <c r="I90" s="2"/>
      <c r="J90" s="2"/>
      <c r="K90" s="2"/>
    </row>
    <row r="91" spans="1:11" customFormat="1" ht="5.0999999999999996" customHeight="1" thickBot="1" x14ac:dyDescent="0.25">
      <c r="B91" s="24"/>
      <c r="C91" s="24"/>
      <c r="D91" s="24"/>
      <c r="E91" s="24"/>
      <c r="F91" s="24"/>
      <c r="G91" s="2"/>
      <c r="H91" s="2"/>
      <c r="I91" s="2"/>
      <c r="J91" s="2"/>
      <c r="K91" s="2"/>
    </row>
    <row r="92" spans="1:11" customFormat="1" ht="15" customHeight="1" thickBot="1" x14ac:dyDescent="0.25">
      <c r="A92" s="33" t="s">
        <v>1</v>
      </c>
      <c r="B92" s="34">
        <f>SUM(B85:B90)</f>
        <v>1</v>
      </c>
      <c r="C92" s="34">
        <f>SUM(C85:C90)</f>
        <v>0.99999999999999989</v>
      </c>
      <c r="D92" s="34">
        <f>SUM(D85:D90)</f>
        <v>1</v>
      </c>
      <c r="E92" s="34">
        <f>SUM(E85:E90)</f>
        <v>0.99999999999999989</v>
      </c>
      <c r="F92" s="35">
        <f>SUM(F85:F90)</f>
        <v>1.0000000000000002</v>
      </c>
      <c r="G92" s="2"/>
      <c r="H92" s="2"/>
      <c r="I92" s="2"/>
      <c r="J92" s="2"/>
      <c r="K92" s="2"/>
    </row>
    <row r="93" spans="1:11" x14ac:dyDescent="0.2">
      <c r="A93" s="231" t="s">
        <v>215</v>
      </c>
      <c r="B93" s="200"/>
      <c r="G93" s="2"/>
      <c r="H93" s="2"/>
      <c r="I93" s="2"/>
      <c r="J93" s="2"/>
      <c r="K93" s="2"/>
    </row>
    <row r="94" spans="1:11" x14ac:dyDescent="0.2">
      <c r="A94" s="199"/>
      <c r="B94" s="22"/>
    </row>
    <row r="95" spans="1:11" x14ac:dyDescent="0.2">
      <c r="A95" s="15"/>
      <c r="B95" s="14"/>
    </row>
    <row r="96" spans="1:11" s="2" customFormat="1" ht="20.100000000000001" customHeight="1" x14ac:dyDescent="0.2">
      <c r="A96" s="5" t="s">
        <v>21</v>
      </c>
      <c r="B96" s="5"/>
      <c r="K96" s="1"/>
    </row>
    <row r="97" spans="1:16" ht="5.0999999999999996" customHeight="1" thickBot="1" x14ac:dyDescent="0.25">
      <c r="C97" s="313"/>
      <c r="D97" s="313"/>
      <c r="E97" s="313"/>
      <c r="F97" s="313"/>
      <c r="G97" s="313"/>
      <c r="H97" s="313"/>
      <c r="I97" s="313"/>
    </row>
    <row r="98" spans="1:16" s="2" customFormat="1" ht="20.100000000000001" customHeight="1" x14ac:dyDescent="0.2">
      <c r="A98" s="582" t="s">
        <v>51</v>
      </c>
      <c r="B98" s="578" t="s">
        <v>97</v>
      </c>
      <c r="C98" s="30" t="s">
        <v>3</v>
      </c>
      <c r="D98" s="30"/>
      <c r="E98" s="30"/>
      <c r="F98" s="30"/>
      <c r="G98" s="30"/>
      <c r="H98" s="30"/>
      <c r="I98" s="29"/>
    </row>
    <row r="99" spans="1:16" s="2" customFormat="1" ht="20.100000000000001" customHeight="1" x14ac:dyDescent="0.2">
      <c r="A99" s="583"/>
      <c r="B99" s="579"/>
      <c r="C99" s="31">
        <v>1</v>
      </c>
      <c r="D99" s="31">
        <v>2</v>
      </c>
      <c r="E99" s="31">
        <v>3</v>
      </c>
      <c r="F99" s="31">
        <v>4</v>
      </c>
      <c r="G99" s="31">
        <v>5</v>
      </c>
      <c r="H99" s="31">
        <v>6</v>
      </c>
      <c r="I99" s="32" t="s">
        <v>4</v>
      </c>
    </row>
    <row r="100" spans="1:16" ht="15" customHeight="1" x14ac:dyDescent="0.2">
      <c r="A100" s="492" t="s">
        <v>50</v>
      </c>
      <c r="B100" s="497" t="s">
        <v>207</v>
      </c>
      <c r="C100" s="541">
        <v>21197.374422607481</v>
      </c>
      <c r="D100" s="541">
        <v>20112.762292705138</v>
      </c>
      <c r="E100" s="541">
        <v>36112.261362528596</v>
      </c>
      <c r="F100" s="541"/>
      <c r="G100" s="541"/>
      <c r="H100" s="541"/>
      <c r="I100" s="536">
        <f>SUM(C100:H100)</f>
        <v>77422.398077841208</v>
      </c>
      <c r="K100" s="313"/>
      <c r="L100" s="313"/>
      <c r="M100" s="313"/>
      <c r="N100" s="313"/>
      <c r="O100" s="313"/>
      <c r="P100" s="313"/>
    </row>
    <row r="101" spans="1:16" ht="15" customHeight="1" x14ac:dyDescent="0.2">
      <c r="A101" s="493" t="s">
        <v>50</v>
      </c>
      <c r="B101" s="494" t="s">
        <v>208</v>
      </c>
      <c r="C101" s="542">
        <f>($C$100*$C$129+$D$100*$C$130+$E$100*$C$131)</f>
        <v>8895.2192269420611</v>
      </c>
      <c r="D101" s="543">
        <f>$C$100*$D$129+$D$100*$D$130+$E$100*$D$131</f>
        <v>10622.170153931629</v>
      </c>
      <c r="E101" s="543">
        <f>$C$100*$E$129+$D$100*$E$130+$E$100*$E$131</f>
        <v>8051.7118947963336</v>
      </c>
      <c r="F101" s="543">
        <f>$C$100*$F$129+$D$100*$F$130+$E$100*$F$131</f>
        <v>9585.923576094383</v>
      </c>
      <c r="G101" s="543">
        <f>$C$100*$G$129+$D$100*$G$130+$E$100*$G$131</f>
        <v>4155.1118635482126</v>
      </c>
      <c r="H101" s="543">
        <f>$C$100*$H$129+$D$100*$H$130+$E$100*$H$131</f>
        <v>36112.261362528596</v>
      </c>
      <c r="I101" s="537">
        <f t="shared" ref="I101:I106" si="0">SUM(C101:H101)</f>
        <v>77422.398077841208</v>
      </c>
      <c r="K101" s="313"/>
      <c r="L101" s="313"/>
      <c r="M101" s="313"/>
      <c r="N101" s="313"/>
      <c r="O101" s="313"/>
      <c r="P101" s="313"/>
    </row>
    <row r="102" spans="1:16" ht="15" customHeight="1" x14ac:dyDescent="0.2">
      <c r="A102" s="6" t="s">
        <v>50</v>
      </c>
      <c r="B102" s="197" t="s">
        <v>99</v>
      </c>
      <c r="C102" s="544">
        <v>4457.7346782942795</v>
      </c>
      <c r="D102" s="545">
        <v>4877.6934187290881</v>
      </c>
      <c r="E102" s="545">
        <v>4485.3435646357884</v>
      </c>
      <c r="F102" s="545">
        <v>4813.1160800249427</v>
      </c>
      <c r="G102" s="545">
        <v>1779.9087972587615</v>
      </c>
      <c r="H102" s="545">
        <v>13713.217412854279</v>
      </c>
      <c r="I102" s="538">
        <f t="shared" si="0"/>
        <v>34127.01395179714</v>
      </c>
      <c r="K102" s="313"/>
      <c r="L102" s="313"/>
      <c r="M102" s="313"/>
      <c r="N102" s="313"/>
      <c r="O102" s="313"/>
      <c r="P102" s="313"/>
    </row>
    <row r="103" spans="1:16" ht="15" customHeight="1" x14ac:dyDescent="0.2">
      <c r="A103" s="6" t="s">
        <v>37</v>
      </c>
      <c r="B103" s="197" t="s">
        <v>100</v>
      </c>
      <c r="C103" s="544">
        <v>7396.9104332436636</v>
      </c>
      <c r="D103" s="545">
        <v>8809.4224378532199</v>
      </c>
      <c r="E103" s="545">
        <v>8062.6487019551287</v>
      </c>
      <c r="F103" s="545">
        <v>9228.3982395455023</v>
      </c>
      <c r="G103" s="545">
        <v>3893.2753913115821</v>
      </c>
      <c r="H103" s="545">
        <v>31178.037814005969</v>
      </c>
      <c r="I103" s="538">
        <f t="shared" si="0"/>
        <v>68568.693017915066</v>
      </c>
      <c r="K103" s="313"/>
      <c r="L103" s="313"/>
      <c r="M103" s="313"/>
      <c r="N103" s="313"/>
      <c r="O103" s="313"/>
      <c r="P103" s="313"/>
    </row>
    <row r="104" spans="1:16" ht="15" customHeight="1" x14ac:dyDescent="0.2">
      <c r="A104" s="6" t="s">
        <v>38</v>
      </c>
      <c r="B104" s="197" t="s">
        <v>101</v>
      </c>
      <c r="C104" s="544">
        <v>2268.5147568242423</v>
      </c>
      <c r="D104" s="545">
        <v>2871.6295145204308</v>
      </c>
      <c r="E104" s="545">
        <v>2539.9530479179552</v>
      </c>
      <c r="F104" s="545">
        <v>2900.5737498858584</v>
      </c>
      <c r="G104" s="545">
        <v>1254.8448628044473</v>
      </c>
      <c r="H104" s="545">
        <v>11662.377647346022</v>
      </c>
      <c r="I104" s="539">
        <f t="shared" si="0"/>
        <v>23497.893579298958</v>
      </c>
      <c r="K104" s="313"/>
      <c r="L104" s="313"/>
      <c r="M104" s="313"/>
      <c r="N104" s="313"/>
      <c r="O104" s="313"/>
      <c r="P104" s="313"/>
    </row>
    <row r="105" spans="1:16" ht="15" customHeight="1" x14ac:dyDescent="0.2">
      <c r="A105" s="6" t="s">
        <v>39</v>
      </c>
      <c r="B105" s="197" t="s">
        <v>102</v>
      </c>
      <c r="C105" s="544">
        <v>943.83152038094408</v>
      </c>
      <c r="D105" s="545">
        <v>1218.3743919692929</v>
      </c>
      <c r="E105" s="545">
        <v>1117.3789321985432</v>
      </c>
      <c r="F105" s="545">
        <v>1324.2839820812158</v>
      </c>
      <c r="G105" s="545">
        <v>590.94668677154812</v>
      </c>
      <c r="H105" s="545">
        <v>5989.9769354976024</v>
      </c>
      <c r="I105" s="539">
        <f t="shared" si="0"/>
        <v>11184.792448899147</v>
      </c>
      <c r="K105" s="313"/>
      <c r="L105" s="313"/>
      <c r="M105" s="313"/>
      <c r="N105" s="313"/>
      <c r="O105" s="313"/>
      <c r="P105" s="313"/>
    </row>
    <row r="106" spans="1:16" ht="15" customHeight="1" thickBot="1" x14ac:dyDescent="0.25">
      <c r="A106" s="46" t="s">
        <v>40</v>
      </c>
      <c r="B106" s="198" t="s">
        <v>103</v>
      </c>
      <c r="C106" s="546">
        <v>1609.5991098236627</v>
      </c>
      <c r="D106" s="547">
        <v>2200.3333999013903</v>
      </c>
      <c r="E106" s="547">
        <v>1945.0946918400152</v>
      </c>
      <c r="F106" s="547">
        <v>2372.5138096109949</v>
      </c>
      <c r="G106" s="547">
        <v>1177.7592430184436</v>
      </c>
      <c r="H106" s="547">
        <v>12264.260986923135</v>
      </c>
      <c r="I106" s="540">
        <f t="shared" si="0"/>
        <v>21569.561241117641</v>
      </c>
      <c r="K106" s="313"/>
      <c r="L106" s="313"/>
      <c r="M106" s="313"/>
      <c r="N106" s="313"/>
      <c r="O106" s="313"/>
      <c r="P106" s="313"/>
    </row>
    <row r="107" spans="1:16" ht="8.25" customHeight="1" thickBot="1" x14ac:dyDescent="0.25">
      <c r="C107" s="419"/>
      <c r="D107" s="319"/>
      <c r="E107" s="319"/>
      <c r="F107" s="319"/>
      <c r="G107" s="319"/>
      <c r="H107" s="319"/>
      <c r="I107" s="319"/>
    </row>
    <row r="108" spans="1:16" ht="19.5" customHeight="1" thickBot="1" x14ac:dyDescent="0.25">
      <c r="A108" s="33" t="s">
        <v>1</v>
      </c>
      <c r="B108" s="49"/>
      <c r="C108" s="420">
        <f t="shared" ref="C108:I108" si="1">SUM(C101:C106)</f>
        <v>25571.809725508851</v>
      </c>
      <c r="D108" s="420">
        <f t="shared" si="1"/>
        <v>30599.623316905054</v>
      </c>
      <c r="E108" s="420">
        <f>SUM(E101:E106)</f>
        <v>26202.130833343763</v>
      </c>
      <c r="F108" s="420">
        <f t="shared" si="1"/>
        <v>30224.809437242897</v>
      </c>
      <c r="G108" s="420">
        <f t="shared" si="1"/>
        <v>12851.846844712994</v>
      </c>
      <c r="H108" s="420">
        <f t="shared" si="1"/>
        <v>110920.13215915559</v>
      </c>
      <c r="I108" s="421">
        <f t="shared" si="1"/>
        <v>236370.35231686919</v>
      </c>
    </row>
    <row r="109" spans="1:16" x14ac:dyDescent="0.2">
      <c r="A109" s="199" t="s">
        <v>227</v>
      </c>
      <c r="I109" s="39"/>
    </row>
    <row r="110" spans="1:16" x14ac:dyDescent="0.2">
      <c r="A110" s="15"/>
      <c r="I110" s="39"/>
    </row>
    <row r="111" spans="1:16" s="2" customFormat="1" ht="15" customHeight="1" x14ac:dyDescent="0.2">
      <c r="A111" s="5" t="s">
        <v>22</v>
      </c>
      <c r="B111" s="5"/>
      <c r="I111" s="11"/>
      <c r="J111" s="11"/>
      <c r="K111" s="11"/>
      <c r="L111" s="11"/>
      <c r="M111" s="11"/>
      <c r="N111" s="11"/>
    </row>
    <row r="112" spans="1:16" ht="5.0999999999999996" customHeight="1" thickBot="1" x14ac:dyDescent="0.25">
      <c r="I112" s="2"/>
    </row>
    <row r="113" spans="1:16" s="2" customFormat="1" ht="20.100000000000001" customHeight="1" x14ac:dyDescent="0.2">
      <c r="A113" s="582" t="s">
        <v>51</v>
      </c>
      <c r="B113" s="578" t="s">
        <v>97</v>
      </c>
      <c r="C113" s="30" t="s">
        <v>3</v>
      </c>
      <c r="D113" s="30"/>
      <c r="E113" s="30"/>
      <c r="F113" s="30"/>
      <c r="G113" s="30"/>
      <c r="H113" s="29"/>
    </row>
    <row r="114" spans="1:16" s="2" customFormat="1" ht="20.100000000000001" customHeight="1" x14ac:dyDescent="0.2">
      <c r="A114" s="583"/>
      <c r="B114" s="579"/>
      <c r="C114" s="31">
        <v>1</v>
      </c>
      <c r="D114" s="31">
        <v>2</v>
      </c>
      <c r="E114" s="31">
        <v>3</v>
      </c>
      <c r="F114" s="31">
        <v>4</v>
      </c>
      <c r="G114" s="31">
        <v>5</v>
      </c>
      <c r="H114" s="32">
        <v>6</v>
      </c>
    </row>
    <row r="115" spans="1:16" ht="15" customHeight="1" x14ac:dyDescent="0.2">
      <c r="A115" s="6" t="s">
        <v>50</v>
      </c>
      <c r="B115" s="196" t="s">
        <v>98</v>
      </c>
      <c r="C115" s="548">
        <v>125134.05334701149</v>
      </c>
      <c r="D115" s="548">
        <v>125134.05334701149</v>
      </c>
      <c r="E115" s="548">
        <v>125134.05334701149</v>
      </c>
      <c r="F115" s="548">
        <v>125134.05334701149</v>
      </c>
      <c r="G115" s="548">
        <v>125134.05334701149</v>
      </c>
      <c r="H115" s="549">
        <v>129822.54057011443</v>
      </c>
      <c r="K115" s="313"/>
      <c r="L115" s="313"/>
      <c r="M115" s="313"/>
      <c r="N115" s="313"/>
      <c r="O115" s="313"/>
      <c r="P115" s="313"/>
    </row>
    <row r="116" spans="1:16" ht="15" customHeight="1" x14ac:dyDescent="0.2">
      <c r="A116" s="6" t="s">
        <v>50</v>
      </c>
      <c r="B116" s="197" t="s">
        <v>99</v>
      </c>
      <c r="C116" s="548">
        <v>17702.737873901406</v>
      </c>
      <c r="D116" s="548">
        <v>19020.266551834204</v>
      </c>
      <c r="E116" s="548">
        <v>19039.141384474624</v>
      </c>
      <c r="F116" s="548">
        <v>19016.588914823336</v>
      </c>
      <c r="G116" s="548">
        <v>19019.086988242158</v>
      </c>
      <c r="H116" s="550">
        <v>21062.320778378697</v>
      </c>
      <c r="K116" s="313"/>
      <c r="L116" s="313"/>
      <c r="M116" s="313"/>
      <c r="N116" s="313"/>
      <c r="O116" s="313"/>
      <c r="P116" s="313"/>
    </row>
    <row r="117" spans="1:16" ht="15" customHeight="1" x14ac:dyDescent="0.2">
      <c r="A117" s="6" t="s">
        <v>37</v>
      </c>
      <c r="B117" s="197" t="s">
        <v>100</v>
      </c>
      <c r="C117" s="548">
        <v>19089.702881488105</v>
      </c>
      <c r="D117" s="548">
        <v>19951.832587354522</v>
      </c>
      <c r="E117" s="548">
        <v>20163.096713477771</v>
      </c>
      <c r="F117" s="548">
        <v>20205.001343791017</v>
      </c>
      <c r="G117" s="548">
        <v>20544.744513846887</v>
      </c>
      <c r="H117" s="550">
        <v>26038.950065725239</v>
      </c>
      <c r="K117" s="313"/>
      <c r="L117" s="313"/>
      <c r="M117" s="313"/>
      <c r="N117" s="313"/>
      <c r="O117" s="313"/>
      <c r="P117" s="313"/>
    </row>
    <row r="118" spans="1:16" ht="15" customHeight="1" x14ac:dyDescent="0.2">
      <c r="A118" s="6" t="s">
        <v>38</v>
      </c>
      <c r="B118" s="197" t="s">
        <v>101</v>
      </c>
      <c r="C118" s="548">
        <v>4197.3913423143795</v>
      </c>
      <c r="D118" s="548">
        <v>4375.7132519982088</v>
      </c>
      <c r="E118" s="548">
        <v>4473.5746519703189</v>
      </c>
      <c r="F118" s="548">
        <v>4382.3692561669286</v>
      </c>
      <c r="G118" s="548">
        <v>4592.3780592039411</v>
      </c>
      <c r="H118" s="550">
        <v>6178.9723482010795</v>
      </c>
      <c r="K118" s="313"/>
      <c r="L118" s="313"/>
      <c r="M118" s="313"/>
      <c r="N118" s="313"/>
      <c r="O118" s="313"/>
      <c r="P118" s="313"/>
    </row>
    <row r="119" spans="1:16" ht="15" customHeight="1" x14ac:dyDescent="0.2">
      <c r="A119" s="6" t="s">
        <v>39</v>
      </c>
      <c r="B119" s="197" t="s">
        <v>102</v>
      </c>
      <c r="C119" s="548">
        <v>1913.1503222777762</v>
      </c>
      <c r="D119" s="548">
        <v>1988.6645279309587</v>
      </c>
      <c r="E119" s="548">
        <v>2020.6055714990125</v>
      </c>
      <c r="F119" s="548">
        <v>2045.7377792187008</v>
      </c>
      <c r="G119" s="548">
        <v>2131.8837974023127</v>
      </c>
      <c r="H119" s="550">
        <v>2691.6368960022401</v>
      </c>
      <c r="K119" s="313"/>
      <c r="L119" s="313"/>
      <c r="M119" s="313"/>
      <c r="N119" s="313"/>
      <c r="O119" s="313"/>
      <c r="P119" s="313"/>
    </row>
    <row r="120" spans="1:16" ht="15" customHeight="1" thickBot="1" x14ac:dyDescent="0.25">
      <c r="A120" s="46" t="s">
        <v>40</v>
      </c>
      <c r="B120" s="198" t="s">
        <v>103</v>
      </c>
      <c r="C120" s="551">
        <v>3193.6436036848463</v>
      </c>
      <c r="D120" s="551">
        <v>3407.8719858625568</v>
      </c>
      <c r="E120" s="551">
        <v>3638.0697032739736</v>
      </c>
      <c r="F120" s="551">
        <v>3886.013760915806</v>
      </c>
      <c r="G120" s="551">
        <v>4162.0860586925783</v>
      </c>
      <c r="H120" s="552">
        <v>5263.0351159496804</v>
      </c>
      <c r="K120" s="313"/>
      <c r="L120" s="313"/>
      <c r="M120" s="313"/>
      <c r="N120" s="313"/>
      <c r="O120" s="313"/>
      <c r="P120" s="313"/>
    </row>
    <row r="121" spans="1:16" ht="5.0999999999999996" customHeight="1" thickBot="1" x14ac:dyDescent="0.25">
      <c r="C121" s="553"/>
      <c r="D121" s="554"/>
      <c r="E121" s="554"/>
      <c r="F121" s="554"/>
      <c r="G121" s="554"/>
      <c r="H121" s="554"/>
    </row>
    <row r="122" spans="1:16" ht="15" customHeight="1" thickBot="1" x14ac:dyDescent="0.25">
      <c r="A122" s="33" t="s">
        <v>1</v>
      </c>
      <c r="B122" s="49"/>
      <c r="C122" s="555">
        <f>SUM(C115:C121)</f>
        <v>171230.67937067797</v>
      </c>
      <c r="D122" s="555">
        <f t="shared" ref="D122:H122" si="2">SUM(D115:D121)</f>
        <v>173878.40225199194</v>
      </c>
      <c r="E122" s="555">
        <f t="shared" si="2"/>
        <v>174468.54137170719</v>
      </c>
      <c r="F122" s="555">
        <f t="shared" si="2"/>
        <v>174669.76440192727</v>
      </c>
      <c r="G122" s="555">
        <f t="shared" si="2"/>
        <v>175584.23276439935</v>
      </c>
      <c r="H122" s="556">
        <f t="shared" si="2"/>
        <v>191057.45577437142</v>
      </c>
    </row>
    <row r="123" spans="1:16" x14ac:dyDescent="0.2">
      <c r="A123" s="199" t="s">
        <v>227</v>
      </c>
      <c r="B123" s="16"/>
      <c r="C123" s="12"/>
      <c r="D123" s="12"/>
      <c r="E123" s="12"/>
      <c r="F123" s="12"/>
      <c r="G123" s="12"/>
      <c r="H123" s="12"/>
    </row>
    <row r="124" spans="1:16" x14ac:dyDescent="0.2">
      <c r="A124" s="199"/>
      <c r="B124" s="14"/>
      <c r="C124" s="313"/>
      <c r="D124" s="313"/>
      <c r="E124" s="313"/>
      <c r="F124" s="313"/>
      <c r="G124" s="313"/>
      <c r="H124" s="313"/>
    </row>
    <row r="125" spans="1:16" ht="15.75" x14ac:dyDescent="0.2">
      <c r="A125" s="5" t="s">
        <v>210</v>
      </c>
      <c r="B125" s="5"/>
      <c r="C125" s="2"/>
      <c r="D125" s="2"/>
      <c r="E125" s="2"/>
      <c r="F125" s="2"/>
      <c r="G125" s="2"/>
      <c r="H125" s="2"/>
    </row>
    <row r="126" spans="1:16" ht="5.0999999999999996" customHeight="1" thickBot="1" x14ac:dyDescent="0.25">
      <c r="A126" s="5"/>
      <c r="B126" s="5"/>
      <c r="C126" s="2"/>
      <c r="D126" s="2"/>
      <c r="E126" s="2"/>
      <c r="F126" s="2"/>
      <c r="G126" s="2"/>
      <c r="H126" s="2"/>
    </row>
    <row r="127" spans="1:16" x14ac:dyDescent="0.2">
      <c r="A127" s="580" t="s">
        <v>138</v>
      </c>
      <c r="B127" s="584" t="s">
        <v>139</v>
      </c>
      <c r="C127" s="30" t="s">
        <v>3</v>
      </c>
      <c r="D127" s="30"/>
      <c r="E127" s="30"/>
      <c r="F127" s="30"/>
      <c r="G127" s="30"/>
      <c r="H127" s="29"/>
    </row>
    <row r="128" spans="1:16" x14ac:dyDescent="0.2">
      <c r="A128" s="581"/>
      <c r="B128" s="585"/>
      <c r="C128" s="31">
        <v>1</v>
      </c>
      <c r="D128" s="31">
        <v>2</v>
      </c>
      <c r="E128" s="31">
        <v>3</v>
      </c>
      <c r="F128" s="31">
        <v>4</v>
      </c>
      <c r="G128" s="31">
        <v>5</v>
      </c>
      <c r="H128" s="32">
        <v>6</v>
      </c>
    </row>
    <row r="129" spans="1:9" ht="15" customHeight="1" x14ac:dyDescent="0.2">
      <c r="A129" s="571" t="s">
        <v>98</v>
      </c>
      <c r="B129" s="317">
        <v>1</v>
      </c>
      <c r="C129" s="315">
        <v>0.37890409375671996</v>
      </c>
      <c r="D129" s="315">
        <v>0.16701165482416044</v>
      </c>
      <c r="E129" s="315">
        <v>0.22066802622644965</v>
      </c>
      <c r="F129" s="315">
        <v>0.23341622519267</v>
      </c>
      <c r="G129" s="315">
        <v>0</v>
      </c>
      <c r="H129" s="380">
        <v>0</v>
      </c>
    </row>
    <row r="130" spans="1:9" ht="15" customHeight="1" x14ac:dyDescent="0.2">
      <c r="A130" s="572"/>
      <c r="B130" s="318">
        <v>2</v>
      </c>
      <c r="C130" s="316">
        <v>4.2930318011826167E-2</v>
      </c>
      <c r="D130" s="316">
        <v>0.35211282620553996</v>
      </c>
      <c r="E130" s="316">
        <v>0.16776060248075936</v>
      </c>
      <c r="F130" s="316">
        <v>0.23060544279668274</v>
      </c>
      <c r="G130" s="316">
        <v>0.20659081050519171</v>
      </c>
      <c r="H130" s="381">
        <v>0</v>
      </c>
    </row>
    <row r="131" spans="1:9" ht="15" customHeight="1" thickBot="1" x14ac:dyDescent="0.25">
      <c r="A131" s="573"/>
      <c r="B131" s="382">
        <v>3</v>
      </c>
      <c r="C131" s="383">
        <v>0</v>
      </c>
      <c r="D131" s="383">
        <v>0</v>
      </c>
      <c r="E131" s="383">
        <v>0</v>
      </c>
      <c r="F131" s="383">
        <v>0</v>
      </c>
      <c r="G131" s="383">
        <v>0</v>
      </c>
      <c r="H131" s="384">
        <v>1</v>
      </c>
    </row>
    <row r="132" spans="1:9" x14ac:dyDescent="0.2">
      <c r="A132" s="199" t="s">
        <v>213</v>
      </c>
      <c r="B132" s="16"/>
    </row>
    <row r="134" spans="1:9" ht="15.75" x14ac:dyDescent="0.2">
      <c r="A134" s="5" t="s">
        <v>212</v>
      </c>
      <c r="B134" s="5"/>
      <c r="C134" s="2"/>
      <c r="D134" s="2"/>
      <c r="E134" s="2"/>
      <c r="F134" s="2"/>
      <c r="G134" s="2"/>
      <c r="H134" s="2"/>
    </row>
    <row r="135" spans="1:9" ht="5.0999999999999996" customHeight="1" thickBot="1" x14ac:dyDescent="0.25">
      <c r="A135" s="5"/>
      <c r="B135" s="5"/>
      <c r="C135" s="2"/>
      <c r="D135" s="2"/>
      <c r="E135" s="2"/>
      <c r="F135" s="2"/>
      <c r="G135" s="2"/>
      <c r="H135" s="2"/>
    </row>
    <row r="136" spans="1:9" x14ac:dyDescent="0.2">
      <c r="A136" s="580" t="s">
        <v>138</v>
      </c>
      <c r="B136" s="584" t="s">
        <v>139</v>
      </c>
      <c r="C136" s="30" t="s">
        <v>3</v>
      </c>
      <c r="D136" s="30"/>
      <c r="E136" s="30"/>
      <c r="F136" s="30"/>
      <c r="G136" s="30"/>
      <c r="H136" s="29"/>
    </row>
    <row r="137" spans="1:9" x14ac:dyDescent="0.2">
      <c r="A137" s="581"/>
      <c r="B137" s="585"/>
      <c r="C137" s="31">
        <v>1</v>
      </c>
      <c r="D137" s="31">
        <v>2</v>
      </c>
      <c r="E137" s="31">
        <v>3</v>
      </c>
      <c r="F137" s="31">
        <v>4</v>
      </c>
      <c r="G137" s="31">
        <v>5</v>
      </c>
      <c r="H137" s="32">
        <v>6</v>
      </c>
    </row>
    <row r="138" spans="1:9" ht="15" customHeight="1" x14ac:dyDescent="0.2">
      <c r="A138" s="571" t="s">
        <v>98</v>
      </c>
      <c r="B138" s="317">
        <v>1</v>
      </c>
      <c r="C138" s="315">
        <v>0.90496956739048651</v>
      </c>
      <c r="D138" s="315">
        <v>0.33852175110819782</v>
      </c>
      <c r="E138" s="315">
        <v>0.58664686028604529</v>
      </c>
      <c r="F138" s="315">
        <v>0.52201433926564533</v>
      </c>
      <c r="G138" s="315">
        <v>0</v>
      </c>
      <c r="H138" s="380">
        <v>0</v>
      </c>
    </row>
    <row r="139" spans="1:9" ht="15" customHeight="1" x14ac:dyDescent="0.2">
      <c r="A139" s="572"/>
      <c r="B139" s="318">
        <v>2</v>
      </c>
      <c r="C139" s="316">
        <v>9.5030432609513618E-2</v>
      </c>
      <c r="D139" s="316">
        <v>0.66147824889180229</v>
      </c>
      <c r="E139" s="316">
        <v>0.41335313971395471</v>
      </c>
      <c r="F139" s="316">
        <v>0.47798566073435472</v>
      </c>
      <c r="G139" s="316">
        <v>1</v>
      </c>
      <c r="H139" s="381">
        <v>0</v>
      </c>
    </row>
    <row r="140" spans="1:9" ht="15" customHeight="1" thickBot="1" x14ac:dyDescent="0.25">
      <c r="A140" s="573"/>
      <c r="B140" s="382">
        <v>3</v>
      </c>
      <c r="C140" s="383">
        <v>0</v>
      </c>
      <c r="D140" s="383">
        <v>0</v>
      </c>
      <c r="E140" s="383">
        <v>0</v>
      </c>
      <c r="F140" s="383">
        <v>0</v>
      </c>
      <c r="G140" s="383">
        <v>0</v>
      </c>
      <c r="H140" s="384">
        <v>1</v>
      </c>
    </row>
    <row r="141" spans="1:9" x14ac:dyDescent="0.2">
      <c r="A141" s="199" t="s">
        <v>213</v>
      </c>
      <c r="B141" s="16"/>
    </row>
    <row r="143" spans="1:9" x14ac:dyDescent="0.2">
      <c r="D143" s="320"/>
      <c r="E143" s="320"/>
    </row>
    <row r="144" spans="1:9" x14ac:dyDescent="0.2">
      <c r="C144" s="319"/>
      <c r="D144" s="319"/>
      <c r="E144" s="319"/>
      <c r="F144" s="319"/>
      <c r="G144" s="319"/>
      <c r="H144" s="319"/>
      <c r="I144" s="319"/>
    </row>
    <row r="145" spans="3:5" x14ac:dyDescent="0.2">
      <c r="C145" s="320"/>
    </row>
    <row r="146" spans="3:5" x14ac:dyDescent="0.2">
      <c r="D146" s="321"/>
      <c r="E146" s="321"/>
    </row>
    <row r="147" spans="3:5" x14ac:dyDescent="0.2">
      <c r="D147" s="321"/>
      <c r="E147" s="321"/>
    </row>
    <row r="150" spans="3:5" x14ac:dyDescent="0.2">
      <c r="D150" s="48"/>
      <c r="E150" s="319"/>
    </row>
    <row r="151" spans="3:5" x14ac:dyDescent="0.2">
      <c r="D151" s="48"/>
      <c r="E151" s="319"/>
    </row>
    <row r="152" spans="3:5" x14ac:dyDescent="0.2">
      <c r="D152" s="48"/>
      <c r="E152" s="319"/>
    </row>
    <row r="153" spans="3:5" x14ac:dyDescent="0.2">
      <c r="D153" s="48"/>
      <c r="E153" s="319"/>
    </row>
  </sheetData>
  <mergeCells count="15">
    <mergeCell ref="A138:A140"/>
    <mergeCell ref="A14:B14"/>
    <mergeCell ref="A29:B29"/>
    <mergeCell ref="B113:B114"/>
    <mergeCell ref="A52:A53"/>
    <mergeCell ref="A98:A99"/>
    <mergeCell ref="B98:B99"/>
    <mergeCell ref="A113:A114"/>
    <mergeCell ref="A67:A68"/>
    <mergeCell ref="A83:A84"/>
    <mergeCell ref="A127:A128"/>
    <mergeCell ref="B127:B128"/>
    <mergeCell ref="A129:A131"/>
    <mergeCell ref="A136:A137"/>
    <mergeCell ref="B136:B137"/>
  </mergeCells>
  <phoneticPr fontId="18" type="noConversion"/>
  <conditionalFormatting sqref="L69:L74">
    <cfRule type="cellIs" dxfId="0" priority="2" operator="greater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79" fitToHeight="3" orientation="portrait" r:id="rId1"/>
  <headerFooter alignWithMargins="0">
    <oddHeader>&amp;C&amp;F-&amp;A</oddHeader>
    <oddFooter>&amp;L&amp;D&amp;RPágina &amp;P de &amp;N</oddFooter>
  </headerFooter>
  <rowBreaks count="1" manualBreakCount="1">
    <brk id="79" max="16383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8EE94-7DBF-45D8-B977-731159BBC0EF}">
  <dimension ref="A1:AB109"/>
  <sheetViews>
    <sheetView showGridLines="0" zoomScaleNormal="100" workbookViewId="0">
      <selection activeCell="B34" sqref="B34"/>
    </sheetView>
  </sheetViews>
  <sheetFormatPr baseColWidth="10" defaultRowHeight="12.75" x14ac:dyDescent="0.2"/>
  <cols>
    <col min="2" max="7" width="14.7109375" customWidth="1"/>
    <col min="8" max="8" width="2.85546875" customWidth="1"/>
    <col min="9" max="9" width="12.28515625" bestFit="1" customWidth="1"/>
    <col min="10" max="10" width="11.140625" bestFit="1" customWidth="1"/>
    <col min="11" max="11" width="13.7109375" bestFit="1" customWidth="1"/>
    <col min="12" max="13" width="11.140625" bestFit="1" customWidth="1"/>
    <col min="14" max="14" width="11.42578125" customWidth="1"/>
    <col min="15" max="15" width="2.7109375" customWidth="1"/>
    <col min="17" max="17" width="13.140625" customWidth="1"/>
    <col min="18" max="18" width="14" customWidth="1"/>
    <col min="22" max="22" width="2.28515625" customWidth="1"/>
  </cols>
  <sheetData>
    <row r="1" spans="1:28" s="1" customFormat="1" x14ac:dyDescent="0.2"/>
    <row r="2" spans="1:28" s="1" customFormat="1" x14ac:dyDescent="0.2"/>
    <row r="3" spans="1:28" s="1" customFormat="1" x14ac:dyDescent="0.2"/>
    <row r="4" spans="1:28" s="1" customFormat="1" x14ac:dyDescent="0.2"/>
    <row r="5" spans="1:28" s="1" customFormat="1" x14ac:dyDescent="0.2"/>
    <row r="6" spans="1:28" s="1" customFormat="1" ht="18" x14ac:dyDescent="0.2">
      <c r="A6" s="386" t="s">
        <v>204</v>
      </c>
    </row>
    <row r="7" spans="1:28" s="5" customFormat="1" ht="16.5" customHeight="1" x14ac:dyDescent="0.2">
      <c r="A7" s="5" t="s">
        <v>221</v>
      </c>
    </row>
    <row r="8" spans="1:28" ht="5.0999999999999996" customHeight="1" thickBot="1" x14ac:dyDescent="0.25"/>
    <row r="9" spans="1:28" ht="24" customHeight="1" x14ac:dyDescent="0.2">
      <c r="A9" s="611" t="s">
        <v>97</v>
      </c>
      <c r="B9" s="173" t="s">
        <v>122</v>
      </c>
      <c r="C9" s="173"/>
      <c r="D9" s="173"/>
      <c r="E9" s="173"/>
      <c r="F9" s="173"/>
      <c r="G9" s="174"/>
      <c r="I9" s="191" t="s">
        <v>123</v>
      </c>
      <c r="J9" s="173"/>
      <c r="K9" s="173"/>
      <c r="L9" s="173"/>
      <c r="M9" s="173"/>
      <c r="N9" s="174"/>
    </row>
    <row r="10" spans="1:28" ht="24" customHeight="1" x14ac:dyDescent="0.2">
      <c r="A10" s="612"/>
      <c r="B10" s="175" t="s">
        <v>15</v>
      </c>
      <c r="C10" s="175" t="s">
        <v>16</v>
      </c>
      <c r="D10" s="175" t="s">
        <v>17</v>
      </c>
      <c r="E10" s="175" t="s">
        <v>18</v>
      </c>
      <c r="F10" s="175" t="s">
        <v>19</v>
      </c>
      <c r="G10" s="176" t="s">
        <v>20</v>
      </c>
      <c r="I10" s="192" t="s">
        <v>15</v>
      </c>
      <c r="J10" s="175" t="s">
        <v>16</v>
      </c>
      <c r="K10" s="175" t="s">
        <v>17</v>
      </c>
      <c r="L10" s="175" t="s">
        <v>18</v>
      </c>
      <c r="M10" s="175" t="s">
        <v>19</v>
      </c>
      <c r="N10" s="176" t="s">
        <v>20</v>
      </c>
    </row>
    <row r="11" spans="1:28" ht="18" customHeight="1" x14ac:dyDescent="0.2">
      <c r="A11" s="236" t="s">
        <v>98</v>
      </c>
      <c r="B11" s="514">
        <f>ROUND('VI. Diseño del Peaje 2.0 TD'!B70,6)</f>
        <v>3.5870799999999998</v>
      </c>
      <c r="C11" s="514">
        <f>ROUND('VI. Diseño del Peaje 2.0 TD'!C70,6)</f>
        <v>7.3398000000000005E-2</v>
      </c>
      <c r="D11" s="515"/>
      <c r="E11" s="515"/>
      <c r="F11" s="515"/>
      <c r="G11" s="516"/>
      <c r="H11" s="1"/>
      <c r="I11" s="411">
        <f>ROUND('VI. Diseño del Peaje 2.0 TD'!D70,6)</f>
        <v>4.2220000000000001E-3</v>
      </c>
      <c r="J11" s="412">
        <f>ROUND('VI. Diseño del Peaje 2.0 TD'!E70,6)</f>
        <v>2.9030000000000002E-3</v>
      </c>
      <c r="K11" s="412">
        <f>ROUND('VI. Diseño del Peaje 2.0 TD'!F70,6)</f>
        <v>1.36E-4</v>
      </c>
      <c r="L11" s="478"/>
      <c r="M11" s="478"/>
      <c r="N11" s="479"/>
      <c r="P11" s="309"/>
      <c r="Q11" s="309"/>
      <c r="R11" s="309"/>
      <c r="S11" s="309"/>
      <c r="T11" s="309"/>
      <c r="U11" s="309"/>
      <c r="V11" s="40"/>
      <c r="W11" s="309"/>
      <c r="X11" s="309"/>
      <c r="Y11" s="309"/>
      <c r="Z11" s="309"/>
      <c r="AA11" s="309"/>
      <c r="AB11" s="309"/>
    </row>
    <row r="12" spans="1:28" ht="18" customHeight="1" x14ac:dyDescent="0.2">
      <c r="A12" s="239" t="s">
        <v>99</v>
      </c>
      <c r="B12" s="513">
        <f>ROUND('Va. Peajes transporte'!B80,6)</f>
        <v>1.504138</v>
      </c>
      <c r="C12" s="513">
        <f>ROUND('Va. Peajes transporte'!C80,6)</f>
        <v>1.2713159999999999</v>
      </c>
      <c r="D12" s="513">
        <f>ROUND('Va. Peajes transporte'!D80,6)</f>
        <v>0.56358600000000003</v>
      </c>
      <c r="E12" s="513">
        <f>ROUND('Va. Peajes transporte'!E80,6)</f>
        <v>0.44409100000000001</v>
      </c>
      <c r="F12" s="513">
        <f>ROUND('Va. Peajes transporte'!F80,6)</f>
        <v>7.9027E-2</v>
      </c>
      <c r="G12" s="517">
        <f>ROUND('Va. Peajes transporte'!G80,6)</f>
        <v>7.9027E-2</v>
      </c>
      <c r="H12" s="1"/>
      <c r="I12" s="413">
        <f>ROUND('Va. Peajes transporte'!I80,6)</f>
        <v>4.7460000000000002E-3</v>
      </c>
      <c r="J12" s="414">
        <f>ROUND('Va. Peajes transporte'!J80,6)</f>
        <v>3.8739999999999998E-3</v>
      </c>
      <c r="K12" s="414">
        <f>ROUND('Va. Peajes transporte'!K80,6)</f>
        <v>2.0709999999999999E-3</v>
      </c>
      <c r="L12" s="414">
        <f>ROUND('Va. Peajes transporte'!L80,6)</f>
        <v>1.397E-3</v>
      </c>
      <c r="M12" s="414">
        <f>ROUND('Va. Peajes transporte'!M80,6)</f>
        <v>1.0399999999999999E-4</v>
      </c>
      <c r="N12" s="415">
        <f>ROUND('Va. Peajes transporte'!N80,6)</f>
        <v>1.0399999999999999E-4</v>
      </c>
      <c r="P12" s="309"/>
      <c r="Q12" s="309"/>
      <c r="R12" s="309"/>
      <c r="S12" s="309"/>
      <c r="T12" s="309"/>
      <c r="U12" s="309"/>
      <c r="V12" s="40"/>
      <c r="W12" s="309"/>
      <c r="X12" s="309"/>
      <c r="Y12" s="309"/>
      <c r="Z12" s="309"/>
      <c r="AA12" s="309"/>
      <c r="AB12" s="309"/>
    </row>
    <row r="13" spans="1:28" ht="18" customHeight="1" x14ac:dyDescent="0.2">
      <c r="A13" s="239" t="s">
        <v>100</v>
      </c>
      <c r="B13" s="513">
        <f>ROUND('Va. Peajes transporte'!B81,6)</f>
        <v>4.9885190000000001</v>
      </c>
      <c r="C13" s="513">
        <f>ROUND('Va. Peajes transporte'!C81,6)</f>
        <v>4.9885190000000001</v>
      </c>
      <c r="D13" s="513">
        <f>ROUND('Va. Peajes transporte'!D81,6)</f>
        <v>2.6754910000000001</v>
      </c>
      <c r="E13" s="513">
        <f>ROUND('Va. Peajes transporte'!E81,6)</f>
        <v>2.0614789999999998</v>
      </c>
      <c r="F13" s="513">
        <f>ROUND('Va. Peajes transporte'!F81,6)</f>
        <v>0.170936</v>
      </c>
      <c r="G13" s="517">
        <f>ROUND('Va. Peajes transporte'!G81,6)</f>
        <v>0.170936</v>
      </c>
      <c r="H13" s="1"/>
      <c r="I13" s="413">
        <f>ROUND('Va. Peajes transporte'!I81,6)</f>
        <v>4.6420000000000003E-3</v>
      </c>
      <c r="J13" s="414">
        <f>ROUND('Va. Peajes transporte'!J81,6)</f>
        <v>3.7889999999999998E-3</v>
      </c>
      <c r="K13" s="414">
        <f>ROUND('Va. Peajes transporte'!K81,6)</f>
        <v>2.1150000000000001E-3</v>
      </c>
      <c r="L13" s="414">
        <f>ROUND('Va. Peajes transporte'!L81,6)</f>
        <v>1.4139999999999999E-3</v>
      </c>
      <c r="M13" s="414">
        <f>ROUND('Va. Peajes transporte'!M81,6)</f>
        <v>1.03E-4</v>
      </c>
      <c r="N13" s="415">
        <f>ROUND('Va. Peajes transporte'!N81,6)</f>
        <v>1.03E-4</v>
      </c>
      <c r="P13" s="309"/>
      <c r="Q13" s="309"/>
      <c r="R13" s="309"/>
      <c r="S13" s="309"/>
      <c r="T13" s="309"/>
      <c r="U13" s="309"/>
      <c r="V13" s="40"/>
      <c r="W13" s="309"/>
      <c r="X13" s="309"/>
      <c r="Y13" s="309"/>
      <c r="Z13" s="309"/>
      <c r="AA13" s="309"/>
      <c r="AB13" s="309"/>
    </row>
    <row r="14" spans="1:28" ht="18" customHeight="1" x14ac:dyDescent="0.2">
      <c r="A14" s="239" t="s">
        <v>101</v>
      </c>
      <c r="B14" s="513">
        <f>ROUND('Va. Peajes transporte'!B82,6)</f>
        <v>5.5616060000000003</v>
      </c>
      <c r="C14" s="513">
        <f>ROUND('Va. Peajes transporte'!C82,6)</f>
        <v>5.5616060000000003</v>
      </c>
      <c r="D14" s="513">
        <f>ROUND('Va. Peajes transporte'!D82,6)</f>
        <v>2.8390759999999999</v>
      </c>
      <c r="E14" s="513">
        <f>ROUND('Va. Peajes transporte'!E82,6)</f>
        <v>2.23889</v>
      </c>
      <c r="F14" s="513">
        <f>ROUND('Va. Peajes transporte'!F82,6)</f>
        <v>0.200598</v>
      </c>
      <c r="G14" s="517">
        <f>ROUND('Va. Peajes transporte'!G82,6)</f>
        <v>0.200598</v>
      </c>
      <c r="H14" s="1"/>
      <c r="I14" s="413">
        <f>ROUND('Va. Peajes transporte'!I82,6)</f>
        <v>3.7309999999999999E-3</v>
      </c>
      <c r="J14" s="414">
        <f>ROUND('Va. Peajes transporte'!J82,6)</f>
        <v>3.0379999999999999E-3</v>
      </c>
      <c r="K14" s="414">
        <f>ROUND('Va. Peajes transporte'!K82,6)</f>
        <v>1.8E-3</v>
      </c>
      <c r="L14" s="414">
        <f>ROUND('Va. Peajes transporte'!L82,6)</f>
        <v>1.0349999999999999E-3</v>
      </c>
      <c r="M14" s="414">
        <f>ROUND('Va. Peajes transporte'!M82,6)</f>
        <v>8.2999999999999998E-5</v>
      </c>
      <c r="N14" s="415">
        <f>ROUND('Va. Peajes transporte'!N82,6)</f>
        <v>8.2999999999999998E-5</v>
      </c>
      <c r="P14" s="309"/>
      <c r="Q14" s="309"/>
      <c r="R14" s="309"/>
      <c r="S14" s="309"/>
      <c r="T14" s="309"/>
      <c r="U14" s="309"/>
      <c r="V14" s="40"/>
      <c r="W14" s="309"/>
      <c r="X14" s="309"/>
      <c r="Y14" s="309"/>
      <c r="Z14" s="309"/>
      <c r="AA14" s="309"/>
      <c r="AB14" s="309"/>
    </row>
    <row r="15" spans="1:28" ht="18" customHeight="1" x14ac:dyDescent="0.2">
      <c r="A15" s="239" t="s">
        <v>102</v>
      </c>
      <c r="B15" s="513">
        <f>ROUND('Va. Peajes transporte'!B83,6)</f>
        <v>5.491879</v>
      </c>
      <c r="C15" s="513">
        <f>ROUND('Va. Peajes transporte'!C83,6)</f>
        <v>5.491879</v>
      </c>
      <c r="D15" s="513">
        <f>ROUND('Va. Peajes transporte'!D83,6)</f>
        <v>2.8484820000000002</v>
      </c>
      <c r="E15" s="513">
        <f>ROUND('Va. Peajes transporte'!E83,6)</f>
        <v>2.2294369999999999</v>
      </c>
      <c r="F15" s="513">
        <f>ROUND('Va. Peajes transporte'!F83,6)</f>
        <v>0.27590300000000001</v>
      </c>
      <c r="G15" s="517">
        <f>ROUND('Va. Peajes transporte'!G83,6)</f>
        <v>0.27590300000000001</v>
      </c>
      <c r="H15" s="1"/>
      <c r="I15" s="413">
        <f>ROUND('Va. Peajes transporte'!I83,6)</f>
        <v>4.2599999999999999E-3</v>
      </c>
      <c r="J15" s="414">
        <f>ROUND('Va. Peajes transporte'!J83,6)</f>
        <v>3.5100000000000001E-3</v>
      </c>
      <c r="K15" s="414">
        <f>ROUND('Va. Peajes transporte'!K83,6)</f>
        <v>2.0400000000000001E-3</v>
      </c>
      <c r="L15" s="414">
        <f>ROUND('Va. Peajes transporte'!L83,6)</f>
        <v>1.2780000000000001E-3</v>
      </c>
      <c r="M15" s="414">
        <f>ROUND('Va. Peajes transporte'!M83,6)</f>
        <v>1E-4</v>
      </c>
      <c r="N15" s="415">
        <f>ROUND('Va. Peajes transporte'!N83,6)</f>
        <v>1E-4</v>
      </c>
      <c r="P15" s="309"/>
      <c r="Q15" s="309"/>
      <c r="R15" s="309"/>
      <c r="S15" s="309"/>
      <c r="T15" s="309"/>
      <c r="U15" s="309"/>
      <c r="V15" s="40"/>
      <c r="W15" s="309"/>
      <c r="X15" s="309"/>
      <c r="Y15" s="309"/>
      <c r="Z15" s="309"/>
      <c r="AA15" s="309"/>
      <c r="AB15" s="309"/>
    </row>
    <row r="16" spans="1:28" ht="18" customHeight="1" thickBot="1" x14ac:dyDescent="0.25">
      <c r="A16" s="242" t="s">
        <v>103</v>
      </c>
      <c r="B16" s="518">
        <f>ROUND('Va. Peajes transporte'!B84,6)</f>
        <v>10.314368</v>
      </c>
      <c r="C16" s="518">
        <f>ROUND('Va. Peajes transporte'!C84,6)</f>
        <v>7.8940619999999999</v>
      </c>
      <c r="D16" s="518">
        <f>ROUND('Va. Peajes transporte'!D84,6)</f>
        <v>3.7972350000000001</v>
      </c>
      <c r="E16" s="518">
        <f>ROUND('Va. Peajes transporte'!E84,6)</f>
        <v>2.7952900000000001</v>
      </c>
      <c r="F16" s="518">
        <f>ROUND('Va. Peajes transporte'!F84,6)</f>
        <v>0.52812000000000003</v>
      </c>
      <c r="G16" s="519">
        <f>ROUND('Va. Peajes transporte'!G84,6)</f>
        <v>0.52812000000000003</v>
      </c>
      <c r="H16" s="1"/>
      <c r="I16" s="416">
        <f>ROUND('Va. Peajes transporte'!I84,6)</f>
        <v>7.0460000000000002E-3</v>
      </c>
      <c r="J16" s="417">
        <f>ROUND('Va. Peajes transporte'!J84,6)</f>
        <v>5.7429999999999998E-3</v>
      </c>
      <c r="K16" s="417">
        <f>ROUND('Va. Peajes transporte'!K84,6)</f>
        <v>3.0630000000000002E-3</v>
      </c>
      <c r="L16" s="417">
        <f>ROUND('Va. Peajes transporte'!L84,6)</f>
        <v>2.4329999999999998E-3</v>
      </c>
      <c r="M16" s="417">
        <f>ROUND('Va. Peajes transporte'!M84,6)</f>
        <v>1.56E-4</v>
      </c>
      <c r="N16" s="418">
        <f>ROUND('Va. Peajes transporte'!N84,6)</f>
        <v>1.56E-4</v>
      </c>
      <c r="P16" s="309"/>
      <c r="Q16" s="309"/>
      <c r="R16" s="309"/>
      <c r="S16" s="309"/>
      <c r="T16" s="309"/>
      <c r="U16" s="309"/>
      <c r="V16" s="40"/>
      <c r="W16" s="309"/>
      <c r="X16" s="309"/>
      <c r="Y16" s="309"/>
      <c r="Z16" s="309"/>
      <c r="AA16" s="309"/>
      <c r="AB16" s="309"/>
    </row>
    <row r="17" spans="1:28" s="5" customFormat="1" ht="16.5" customHeight="1" x14ac:dyDescent="0.2">
      <c r="A17" s="5" t="s">
        <v>223</v>
      </c>
    </row>
    <row r="18" spans="1:28" ht="5.0999999999999996" customHeight="1" thickBot="1" x14ac:dyDescent="0.25"/>
    <row r="19" spans="1:28" ht="24" customHeight="1" x14ac:dyDescent="0.2">
      <c r="A19" s="611" t="s">
        <v>97</v>
      </c>
      <c r="B19" s="173" t="s">
        <v>122</v>
      </c>
      <c r="C19" s="173"/>
      <c r="D19" s="173"/>
      <c r="E19" s="173"/>
      <c r="F19" s="173"/>
      <c r="G19" s="174"/>
      <c r="I19" s="191" t="s">
        <v>123</v>
      </c>
      <c r="J19" s="173"/>
      <c r="K19" s="173"/>
      <c r="L19" s="173"/>
      <c r="M19" s="173"/>
      <c r="N19" s="174"/>
    </row>
    <row r="20" spans="1:28" ht="24" customHeight="1" x14ac:dyDescent="0.2">
      <c r="A20" s="612"/>
      <c r="B20" s="175" t="s">
        <v>15</v>
      </c>
      <c r="C20" s="175" t="s">
        <v>16</v>
      </c>
      <c r="D20" s="175" t="s">
        <v>17</v>
      </c>
      <c r="E20" s="175" t="s">
        <v>18</v>
      </c>
      <c r="F20" s="175" t="s">
        <v>19</v>
      </c>
      <c r="G20" s="176" t="s">
        <v>20</v>
      </c>
      <c r="I20" s="192" t="s">
        <v>15</v>
      </c>
      <c r="J20" s="175" t="s">
        <v>16</v>
      </c>
      <c r="K20" s="175" t="s">
        <v>17</v>
      </c>
      <c r="L20" s="175" t="s">
        <v>18</v>
      </c>
      <c r="M20" s="175" t="s">
        <v>19</v>
      </c>
      <c r="N20" s="176" t="s">
        <v>20</v>
      </c>
    </row>
    <row r="21" spans="1:28" ht="18" customHeight="1" x14ac:dyDescent="0.2">
      <c r="A21" s="236" t="s">
        <v>98</v>
      </c>
      <c r="B21" s="411">
        <f>ROUND('VI. Diseño del Peaje 2.0 TD'!B71,6)</f>
        <v>19.401176</v>
      </c>
      <c r="C21" s="412">
        <f>ROUND('VI. Diseño del Peaje 2.0 TD'!C71,6)</f>
        <v>0.86549200000000004</v>
      </c>
      <c r="D21" s="412"/>
      <c r="E21" s="478"/>
      <c r="F21" s="478"/>
      <c r="G21" s="479"/>
      <c r="H21" s="1"/>
      <c r="I21" s="411">
        <f>ROUND('VI. Diseño del Peaje 2.0 TD'!D71,6)</f>
        <v>2.3564999999999999E-2</v>
      </c>
      <c r="J21" s="412">
        <f>ROUND('VI. Diseño del Peaje 2.0 TD'!E71,6)</f>
        <v>1.6243E-2</v>
      </c>
      <c r="K21" s="412">
        <f>ROUND('VI. Diseño del Peaje 2.0 TD'!F71,6)</f>
        <v>5.6700000000000001E-4</v>
      </c>
      <c r="L21" s="478"/>
      <c r="M21" s="478"/>
      <c r="N21" s="479"/>
      <c r="P21" s="309"/>
      <c r="Q21" s="309"/>
      <c r="R21" s="309"/>
      <c r="S21" s="309"/>
      <c r="T21" s="309"/>
      <c r="U21" s="309"/>
      <c r="V21" s="40"/>
      <c r="W21" s="309"/>
      <c r="X21" s="309"/>
      <c r="Y21" s="309"/>
      <c r="Z21" s="309"/>
      <c r="AA21" s="309"/>
      <c r="AB21" s="309"/>
    </row>
    <row r="22" spans="1:28" ht="18" customHeight="1" x14ac:dyDescent="0.2">
      <c r="A22" s="239" t="s">
        <v>99</v>
      </c>
      <c r="B22" s="413">
        <f>ROUND('Vb. Peajes distribución'!B80,6)</f>
        <v>8.9897819999999999</v>
      </c>
      <c r="C22" s="414">
        <f>ROUND('Vb. Peajes distribución'!C80,6)</f>
        <v>7.881176</v>
      </c>
      <c r="D22" s="414">
        <f>ROUND('Vb. Peajes distribución'!D80,6)</f>
        <v>3.1249259999999999</v>
      </c>
      <c r="E22" s="414">
        <f>ROUND('Vb. Peajes distribución'!E80,6)</f>
        <v>2.3586480000000001</v>
      </c>
      <c r="F22" s="414">
        <f>ROUND('Vb. Peajes distribución'!F80,6)</f>
        <v>1.043806</v>
      </c>
      <c r="G22" s="415">
        <f>ROUND('Vb. Peajes distribución'!G80,6)</f>
        <v>1.043806</v>
      </c>
      <c r="H22" s="1"/>
      <c r="I22" s="413">
        <f>ROUND('Vb. Peajes distribución'!I80,6)</f>
        <v>1.3006E-2</v>
      </c>
      <c r="J22" s="414">
        <f>ROUND('Vb. Peajes distribución'!J80,6)</f>
        <v>1.0692999999999999E-2</v>
      </c>
      <c r="K22" s="414">
        <f>ROUND('Vb. Peajes distribución'!K80,6)</f>
        <v>5.8840000000000003E-3</v>
      </c>
      <c r="L22" s="414">
        <f>ROUND('Vb. Peajes distribución'!L80,6)</f>
        <v>3.9639999999999996E-3</v>
      </c>
      <c r="M22" s="414">
        <f>ROUND('Vb. Peajes distribución'!M80,6)</f>
        <v>2.1699999999999999E-4</v>
      </c>
      <c r="N22" s="415">
        <f>ROUND('Vb. Peajes distribución'!N80,6)</f>
        <v>2.1699999999999999E-4</v>
      </c>
      <c r="P22" s="309"/>
      <c r="Q22" s="309"/>
      <c r="R22" s="309"/>
      <c r="S22" s="309"/>
      <c r="T22" s="309"/>
      <c r="U22" s="309"/>
      <c r="V22" s="40"/>
      <c r="W22" s="309"/>
      <c r="X22" s="309"/>
      <c r="Y22" s="309"/>
      <c r="Z22" s="309"/>
      <c r="AA22" s="309"/>
      <c r="AB22" s="309"/>
    </row>
    <row r="23" spans="1:28" ht="18" customHeight="1" x14ac:dyDescent="0.2">
      <c r="A23" s="239" t="s">
        <v>100</v>
      </c>
      <c r="B23" s="413">
        <f>ROUND('Vb. Peajes distribución'!B81,6)</f>
        <v>13.332285000000001</v>
      </c>
      <c r="C23" s="414">
        <f>ROUND('Vb. Peajes distribución'!C81,6)</f>
        <v>13.332285000000001</v>
      </c>
      <c r="D23" s="414">
        <f>ROUND('Vb. Peajes distribución'!D81,6)</f>
        <v>7.3130800000000002</v>
      </c>
      <c r="E23" s="414">
        <f>ROUND('Vb. Peajes distribución'!E81,6)</f>
        <v>5.50441</v>
      </c>
      <c r="F23" s="414">
        <f>ROUND('Vb. Peajes distribución'!F81,6)</f>
        <v>0.33161499999999999</v>
      </c>
      <c r="G23" s="415">
        <f>ROUND('Vb. Peajes distribución'!G81,6)</f>
        <v>0.33161499999999999</v>
      </c>
      <c r="H23" s="1"/>
      <c r="I23" s="413">
        <f>ROUND('Vb. Peajes distribución'!I81,6)</f>
        <v>1.2722000000000001E-2</v>
      </c>
      <c r="J23" s="414">
        <f>ROUND('Vb. Peajes distribución'!J81,6)</f>
        <v>1.0458E-2</v>
      </c>
      <c r="K23" s="414">
        <f>ROUND('Vb. Peajes distribución'!K81,6)</f>
        <v>6.0099999999999997E-3</v>
      </c>
      <c r="L23" s="414">
        <f>ROUND('Vb. Peajes distribución'!L81,6)</f>
        <v>4.0140000000000002E-3</v>
      </c>
      <c r="M23" s="414">
        <f>ROUND('Vb. Peajes distribución'!M81,6)</f>
        <v>2.13E-4</v>
      </c>
      <c r="N23" s="415">
        <f>ROUND('Vb. Peajes distribución'!N81,6)</f>
        <v>2.13E-4</v>
      </c>
      <c r="P23" s="309"/>
      <c r="Q23" s="309"/>
      <c r="R23" s="309"/>
      <c r="S23" s="309"/>
      <c r="T23" s="309"/>
      <c r="U23" s="309"/>
      <c r="V23" s="40"/>
      <c r="W23" s="309"/>
      <c r="X23" s="309"/>
      <c r="Y23" s="309"/>
      <c r="Z23" s="309"/>
      <c r="AA23" s="309"/>
      <c r="AB23" s="309"/>
    </row>
    <row r="24" spans="1:28" ht="18" customHeight="1" x14ac:dyDescent="0.2">
      <c r="A24" s="239" t="s">
        <v>101</v>
      </c>
      <c r="B24" s="413">
        <f>ROUND('Vb. Peajes distribución'!B82,6)</f>
        <v>8.0312850000000005</v>
      </c>
      <c r="C24" s="414">
        <f>ROUND('Vb. Peajes distribución'!C82,6)</f>
        <v>8.0312850000000005</v>
      </c>
      <c r="D24" s="414">
        <f>ROUND('Vb. Peajes distribución'!D82,6)</f>
        <v>3.8098809999999999</v>
      </c>
      <c r="E24" s="414">
        <f>ROUND('Vb. Peajes distribución'!E82,6)</f>
        <v>3.8098809999999999</v>
      </c>
      <c r="F24" s="414">
        <f>ROUND('Vb. Peajes distribución'!F82,6)</f>
        <v>0.21784800000000001</v>
      </c>
      <c r="G24" s="415">
        <f>ROUND('Vb. Peajes distribución'!G82,6)</f>
        <v>0.21784800000000001</v>
      </c>
      <c r="H24" s="1"/>
      <c r="I24" s="413">
        <f>ROUND('Vb. Peajes distribución'!I82,6)</f>
        <v>5.437E-3</v>
      </c>
      <c r="J24" s="414">
        <f>ROUND('Vb. Peajes distribución'!J82,6)</f>
        <v>4.4910000000000002E-3</v>
      </c>
      <c r="K24" s="414">
        <f>ROUND('Vb. Peajes distribución'!K82,6)</f>
        <v>2.428E-3</v>
      </c>
      <c r="L24" s="414">
        <f>ROUND('Vb. Peajes distribución'!L82,6)</f>
        <v>1.9189999999999999E-3</v>
      </c>
      <c r="M24" s="414">
        <f>ROUND('Vb. Peajes distribución'!M82,6)</f>
        <v>9.1000000000000003E-5</v>
      </c>
      <c r="N24" s="415">
        <f>ROUND('Vb. Peajes distribución'!N82,6)</f>
        <v>9.1000000000000003E-5</v>
      </c>
      <c r="P24" s="309"/>
      <c r="Q24" s="309"/>
      <c r="R24" s="309"/>
      <c r="S24" s="309"/>
      <c r="T24" s="309"/>
      <c r="U24" s="309"/>
      <c r="V24" s="40"/>
      <c r="W24" s="309"/>
      <c r="X24" s="309"/>
      <c r="Y24" s="309"/>
      <c r="Z24" s="309"/>
      <c r="AA24" s="309"/>
      <c r="AB24" s="309"/>
    </row>
    <row r="25" spans="1:28" ht="18" customHeight="1" x14ac:dyDescent="0.2">
      <c r="A25" s="239" t="s">
        <v>102</v>
      </c>
      <c r="B25" s="413">
        <f>ROUND('Vb. Peajes distribución'!B83,6)</f>
        <v>4.529172</v>
      </c>
      <c r="C25" s="414">
        <f>ROUND('Vb. Peajes distribución'!C83,6)</f>
        <v>4.529172</v>
      </c>
      <c r="D25" s="414">
        <f>ROUND('Vb. Peajes distribución'!D83,6)</f>
        <v>2.6946750000000002</v>
      </c>
      <c r="E25" s="414">
        <f>ROUND('Vb. Peajes distribución'!E83,6)</f>
        <v>1.0115229999999999</v>
      </c>
      <c r="F25" s="414">
        <f>ROUND('Vb. Peajes distribución'!F83,6)</f>
        <v>0.36224499999999998</v>
      </c>
      <c r="G25" s="415">
        <f>ROUND('Vb. Peajes distribución'!G83,6)</f>
        <v>0.36224499999999998</v>
      </c>
      <c r="H25" s="1"/>
      <c r="I25" s="413">
        <f>ROUND('Vb. Peajes distribución'!I83,6)</f>
        <v>3.5140000000000002E-3</v>
      </c>
      <c r="J25" s="414">
        <f>ROUND('Vb. Peajes distribución'!J83,6)</f>
        <v>3.0049999999999999E-3</v>
      </c>
      <c r="K25" s="414">
        <f>ROUND('Vb. Peajes distribución'!K83,6)</f>
        <v>1.8760000000000001E-3</v>
      </c>
      <c r="L25" s="414">
        <f>ROUND('Vb. Peajes distribución'!L83,6)</f>
        <v>6.02E-4</v>
      </c>
      <c r="M25" s="414">
        <f>ROUND('Vb. Peajes distribución'!M83,6)</f>
        <v>1.35E-4</v>
      </c>
      <c r="N25" s="415">
        <f>ROUND('Vb. Peajes distribución'!N83,6)</f>
        <v>1.35E-4</v>
      </c>
      <c r="P25" s="309"/>
      <c r="Q25" s="309"/>
      <c r="R25" s="309"/>
      <c r="S25" s="309"/>
      <c r="T25" s="309"/>
      <c r="U25" s="309"/>
      <c r="V25" s="40"/>
      <c r="W25" s="309"/>
      <c r="X25" s="309"/>
      <c r="Y25" s="309"/>
      <c r="Z25" s="309"/>
      <c r="AA25" s="309"/>
      <c r="AB25" s="309"/>
    </row>
    <row r="26" spans="1:28" ht="18" customHeight="1" thickBot="1" x14ac:dyDescent="0.25">
      <c r="A26" s="242" t="s">
        <v>103</v>
      </c>
      <c r="B26" s="416">
        <f>ROUND('Vb. Peajes distribución'!B84,6)</f>
        <v>0</v>
      </c>
      <c r="C26" s="417">
        <f>ROUND('Vb. Peajes distribución'!C84,6)</f>
        <v>0</v>
      </c>
      <c r="D26" s="417">
        <f>ROUND('Vb. Peajes distribución'!D84,6)</f>
        <v>0</v>
      </c>
      <c r="E26" s="417">
        <f>ROUND('Vb. Peajes distribución'!E84,6)</f>
        <v>0</v>
      </c>
      <c r="F26" s="417">
        <f>ROUND('Vb. Peajes distribución'!F84,6)</f>
        <v>0</v>
      </c>
      <c r="G26" s="418">
        <f>ROUND('Vb. Peajes distribución'!G84,6)</f>
        <v>0</v>
      </c>
      <c r="H26" s="1"/>
      <c r="I26" s="416">
        <f>ROUND('Vb. Peajes distribución'!I84,6)</f>
        <v>0</v>
      </c>
      <c r="J26" s="417">
        <f>ROUND('Vb. Peajes distribución'!J84,6)</f>
        <v>0</v>
      </c>
      <c r="K26" s="417">
        <f>ROUND('Vb. Peajes distribución'!K84,6)</f>
        <v>0</v>
      </c>
      <c r="L26" s="417">
        <f>ROUND('Vb. Peajes distribución'!L84,6)</f>
        <v>0</v>
      </c>
      <c r="M26" s="417">
        <f>ROUND('Vb. Peajes distribución'!M84,6)</f>
        <v>0</v>
      </c>
      <c r="N26" s="418">
        <f>ROUND('Vb. Peajes distribución'!N84,6)</f>
        <v>0</v>
      </c>
      <c r="P26" s="309"/>
      <c r="Q26" s="309"/>
      <c r="R26" s="309"/>
      <c r="S26" s="309"/>
      <c r="T26" s="309"/>
      <c r="U26" s="309"/>
      <c r="V26" s="40"/>
      <c r="W26" s="309"/>
      <c r="X26" s="309"/>
      <c r="Y26" s="309"/>
      <c r="Z26" s="309"/>
      <c r="AA26" s="309"/>
      <c r="AB26" s="309"/>
    </row>
    <row r="27" spans="1:28" s="386" customFormat="1" ht="30" customHeight="1" x14ac:dyDescent="0.2">
      <c r="A27" s="2" t="s">
        <v>222</v>
      </c>
    </row>
    <row r="28" spans="1:28" s="386" customFormat="1" ht="6.75" customHeight="1" x14ac:dyDescent="0.2"/>
    <row r="29" spans="1:28" s="5" customFormat="1" ht="16.5" customHeight="1" x14ac:dyDescent="0.2">
      <c r="A29" s="5" t="s">
        <v>224</v>
      </c>
    </row>
    <row r="30" spans="1:28" ht="5.0999999999999996" customHeight="1" thickBot="1" x14ac:dyDescent="0.25"/>
    <row r="31" spans="1:28" ht="24" customHeight="1" x14ac:dyDescent="0.2">
      <c r="A31" s="611" t="s">
        <v>97</v>
      </c>
      <c r="B31" s="173" t="s">
        <v>122</v>
      </c>
      <c r="C31" s="173"/>
      <c r="D31" s="173"/>
      <c r="E31" s="173"/>
      <c r="F31" s="173"/>
      <c r="G31" s="174"/>
      <c r="I31" s="191" t="s">
        <v>123</v>
      </c>
      <c r="J31" s="173"/>
      <c r="K31" s="173"/>
      <c r="L31" s="173"/>
      <c r="M31" s="173"/>
      <c r="N31" s="174"/>
    </row>
    <row r="32" spans="1:28" ht="24" customHeight="1" x14ac:dyDescent="0.2">
      <c r="A32" s="612"/>
      <c r="B32" s="175" t="s">
        <v>15</v>
      </c>
      <c r="C32" s="175" t="s">
        <v>16</v>
      </c>
      <c r="D32" s="175" t="s">
        <v>17</v>
      </c>
      <c r="E32" s="175" t="s">
        <v>18</v>
      </c>
      <c r="F32" s="175" t="s">
        <v>19</v>
      </c>
      <c r="G32" s="176" t="s">
        <v>20</v>
      </c>
      <c r="I32" s="192" t="s">
        <v>15</v>
      </c>
      <c r="J32" s="175" t="s">
        <v>16</v>
      </c>
      <c r="K32" s="175" t="s">
        <v>17</v>
      </c>
      <c r="L32" s="175" t="s">
        <v>18</v>
      </c>
      <c r="M32" s="175" t="s">
        <v>19</v>
      </c>
      <c r="N32" s="176" t="s">
        <v>20</v>
      </c>
    </row>
    <row r="33" spans="1:28" ht="18" customHeight="1" x14ac:dyDescent="0.2">
      <c r="A33" s="236" t="s">
        <v>98</v>
      </c>
      <c r="B33" s="514">
        <f>B11+B21</f>
        <v>22.988256</v>
      </c>
      <c r="C33" s="514">
        <f>C11+C21</f>
        <v>0.93889</v>
      </c>
      <c r="D33" s="515"/>
      <c r="E33" s="515"/>
      <c r="F33" s="515"/>
      <c r="G33" s="516"/>
      <c r="H33" s="1"/>
      <c r="I33" s="411">
        <f>I21+I11</f>
        <v>2.7786999999999999E-2</v>
      </c>
      <c r="J33" s="412">
        <f t="shared" ref="J33:K33" si="0">J21+J11</f>
        <v>1.9146E-2</v>
      </c>
      <c r="K33" s="412">
        <f t="shared" si="0"/>
        <v>7.0300000000000007E-4</v>
      </c>
      <c r="L33" s="478"/>
      <c r="M33" s="478"/>
      <c r="N33" s="479"/>
      <c r="P33" s="520"/>
      <c r="Q33" s="520"/>
      <c r="R33" s="520"/>
      <c r="S33" s="520"/>
      <c r="T33" s="520"/>
      <c r="U33" s="520"/>
      <c r="V33" s="520"/>
      <c r="W33" s="520"/>
      <c r="X33" s="520"/>
      <c r="Y33" s="520"/>
      <c r="Z33" s="520"/>
      <c r="AA33" s="520"/>
      <c r="AB33" s="520"/>
    </row>
    <row r="34" spans="1:28" ht="18" customHeight="1" x14ac:dyDescent="0.2">
      <c r="A34" s="239" t="s">
        <v>99</v>
      </c>
      <c r="B34" s="513">
        <f>ROUND('Va. Peajes transporte'!B80+'Vb. Peajes distribución'!B80,6)</f>
        <v>10.493919999999999</v>
      </c>
      <c r="C34" s="513">
        <f>ROUND('Va. Peajes transporte'!C80+'Vb. Peajes distribución'!C80,6)</f>
        <v>9.1524920000000005</v>
      </c>
      <c r="D34" s="513">
        <f>ROUND('Va. Peajes transporte'!D80+'Vb. Peajes distribución'!D80,6)</f>
        <v>3.6885119999999998</v>
      </c>
      <c r="E34" s="513">
        <f>ROUND('Va. Peajes transporte'!E80+'Vb. Peajes distribución'!E80,6)</f>
        <v>2.8027389999999999</v>
      </c>
      <c r="F34" s="513">
        <f>ROUND('Va. Peajes transporte'!F80+'Vb. Peajes distribución'!F80,6)</f>
        <v>1.122833</v>
      </c>
      <c r="G34" s="517">
        <f>ROUND('Va. Peajes transporte'!G80+'Vb. Peajes distribución'!G80,6)</f>
        <v>1.122833</v>
      </c>
      <c r="H34" s="1"/>
      <c r="I34" s="413">
        <f>ROUND('Va. Peajes transporte'!I80+'Vb. Peajes distribución'!I80,6)</f>
        <v>1.7752E-2</v>
      </c>
      <c r="J34" s="414">
        <f>ROUND('Va. Peajes transporte'!J80+'Vb. Peajes distribución'!J80,6)</f>
        <v>1.4567E-2</v>
      </c>
      <c r="K34" s="414">
        <f>ROUND('Va. Peajes transporte'!K80+'Vb. Peajes distribución'!K80,6)</f>
        <v>7.9550000000000003E-3</v>
      </c>
      <c r="L34" s="414">
        <f>ROUND('Va. Peajes transporte'!L80+'Vb. Peajes distribución'!L80,6)</f>
        <v>5.3610000000000003E-3</v>
      </c>
      <c r="M34" s="414">
        <f>ROUND('Va. Peajes transporte'!M80+'Vb. Peajes distribución'!M80,6)</f>
        <v>3.21E-4</v>
      </c>
      <c r="N34" s="415">
        <f>ROUND('Va. Peajes transporte'!N80+'Vb. Peajes distribución'!N80,6)</f>
        <v>3.21E-4</v>
      </c>
      <c r="P34" s="520"/>
      <c r="Q34" s="520"/>
      <c r="R34" s="520"/>
      <c r="S34" s="520"/>
      <c r="T34" s="520"/>
      <c r="U34" s="520"/>
      <c r="V34" s="520"/>
      <c r="W34" s="520"/>
      <c r="X34" s="520"/>
      <c r="Y34" s="520"/>
      <c r="Z34" s="520"/>
      <c r="AA34" s="520"/>
      <c r="AB34" s="520"/>
    </row>
    <row r="35" spans="1:28" ht="18" customHeight="1" x14ac:dyDescent="0.2">
      <c r="A35" s="239" t="s">
        <v>100</v>
      </c>
      <c r="B35" s="513">
        <f>ROUND('Va. Peajes transporte'!B81+'Vb. Peajes distribución'!B81,6)</f>
        <v>18.320805</v>
      </c>
      <c r="C35" s="513">
        <f>ROUND('Va. Peajes transporte'!C81+'Vb. Peajes distribución'!C81,6)</f>
        <v>18.320805</v>
      </c>
      <c r="D35" s="513">
        <f>ROUND('Va. Peajes transporte'!D81+'Vb. Peajes distribución'!D81,6)</f>
        <v>9.9885710000000003</v>
      </c>
      <c r="E35" s="513">
        <f>ROUND('Va. Peajes transporte'!E81+'Vb. Peajes distribución'!E81,6)</f>
        <v>7.5658890000000003</v>
      </c>
      <c r="F35" s="513">
        <f>ROUND('Va. Peajes transporte'!F81+'Vb. Peajes distribución'!F81,6)</f>
        <v>0.50255000000000005</v>
      </c>
      <c r="G35" s="517">
        <f>ROUND('Va. Peajes transporte'!G81+'Vb. Peajes distribución'!G81,6)</f>
        <v>0.50255000000000005</v>
      </c>
      <c r="H35" s="1"/>
      <c r="I35" s="413">
        <f>ROUND('Va. Peajes transporte'!I81+'Vb. Peajes distribución'!I81,6)</f>
        <v>1.7364000000000001E-2</v>
      </c>
      <c r="J35" s="414">
        <f>ROUND('Va. Peajes transporte'!J81+'Vb. Peajes distribución'!J81,6)</f>
        <v>1.4246999999999999E-2</v>
      </c>
      <c r="K35" s="414">
        <f>ROUND('Va. Peajes transporte'!K81+'Vb. Peajes distribución'!K81,6)</f>
        <v>8.1239999999999993E-3</v>
      </c>
      <c r="L35" s="414">
        <f>ROUND('Va. Peajes transporte'!L81+'Vb. Peajes distribución'!L81,6)</f>
        <v>5.4279999999999997E-3</v>
      </c>
      <c r="M35" s="414">
        <f>ROUND('Va. Peajes transporte'!M81+'Vb. Peajes distribución'!M81,6)</f>
        <v>3.1500000000000001E-4</v>
      </c>
      <c r="N35" s="415">
        <f>ROUND('Va. Peajes transporte'!N81+'Vb. Peajes distribución'!N81,6)</f>
        <v>3.1500000000000001E-4</v>
      </c>
      <c r="P35" s="520"/>
      <c r="Q35" s="520"/>
      <c r="R35" s="520"/>
      <c r="S35" s="520"/>
      <c r="T35" s="520"/>
      <c r="U35" s="520"/>
      <c r="V35" s="520"/>
      <c r="W35" s="520"/>
      <c r="X35" s="520"/>
      <c r="Y35" s="520"/>
      <c r="Z35" s="520"/>
      <c r="AA35" s="520"/>
      <c r="AB35" s="520"/>
    </row>
    <row r="36" spans="1:28" ht="18" customHeight="1" x14ac:dyDescent="0.2">
      <c r="A36" s="239" t="s">
        <v>101</v>
      </c>
      <c r="B36" s="513">
        <f>ROUND('Va. Peajes transporte'!B82+'Vb. Peajes distribución'!B82,6)</f>
        <v>13.592890000000001</v>
      </c>
      <c r="C36" s="513">
        <f>ROUND('Va. Peajes transporte'!C82+'Vb. Peajes distribución'!C82,6)</f>
        <v>13.592890000000001</v>
      </c>
      <c r="D36" s="513">
        <f>ROUND('Va. Peajes transporte'!D82+'Vb. Peajes distribución'!D82,6)</f>
        <v>6.6489560000000001</v>
      </c>
      <c r="E36" s="513">
        <f>ROUND('Va. Peajes transporte'!E82+'Vb. Peajes distribución'!E82,6)</f>
        <v>6.0487710000000003</v>
      </c>
      <c r="F36" s="513">
        <f>ROUND('Va. Peajes transporte'!F82+'Vb. Peajes distribución'!F82,6)</f>
        <v>0.41844599999999998</v>
      </c>
      <c r="G36" s="517">
        <f>ROUND('Va. Peajes transporte'!G82+'Vb. Peajes distribución'!G82,6)</f>
        <v>0.41844599999999998</v>
      </c>
      <c r="H36" s="1"/>
      <c r="I36" s="413">
        <f>ROUND('Va. Peajes transporte'!I82+'Vb. Peajes distribución'!I82,6)</f>
        <v>9.1680000000000008E-3</v>
      </c>
      <c r="J36" s="414">
        <f>ROUND('Va. Peajes transporte'!J82+'Vb. Peajes distribución'!J82,6)</f>
        <v>7.5290000000000001E-3</v>
      </c>
      <c r="K36" s="414">
        <f>ROUND('Va. Peajes transporte'!K82+'Vb. Peajes distribución'!K82,6)</f>
        <v>4.228E-3</v>
      </c>
      <c r="L36" s="414">
        <f>ROUND('Va. Peajes transporte'!L82+'Vb. Peajes distribución'!L82,6)</f>
        <v>2.954E-3</v>
      </c>
      <c r="M36" s="414">
        <f>ROUND('Va. Peajes transporte'!M82+'Vb. Peajes distribución'!M82,6)</f>
        <v>1.74E-4</v>
      </c>
      <c r="N36" s="415">
        <f>ROUND('Va. Peajes transporte'!N82+'Vb. Peajes distribución'!N82,6)</f>
        <v>1.74E-4</v>
      </c>
      <c r="P36" s="520"/>
      <c r="Q36" s="520"/>
      <c r="R36" s="520"/>
      <c r="S36" s="520"/>
      <c r="T36" s="520"/>
      <c r="U36" s="520"/>
      <c r="V36" s="520"/>
      <c r="W36" s="520"/>
      <c r="X36" s="520"/>
      <c r="Y36" s="520"/>
      <c r="Z36" s="520"/>
      <c r="AA36" s="520"/>
      <c r="AB36" s="520"/>
    </row>
    <row r="37" spans="1:28" ht="18" customHeight="1" x14ac:dyDescent="0.2">
      <c r="A37" s="239" t="s">
        <v>102</v>
      </c>
      <c r="B37" s="513">
        <f>ROUND('Va. Peajes transporte'!B83+'Vb. Peajes distribución'!B83,6)</f>
        <v>10.021051</v>
      </c>
      <c r="C37" s="513">
        <f>ROUND('Va. Peajes transporte'!C83+'Vb. Peajes distribución'!C83,6)</f>
        <v>10.021051</v>
      </c>
      <c r="D37" s="513">
        <f>ROUND('Va. Peajes transporte'!D83+'Vb. Peajes distribución'!D83,6)</f>
        <v>5.5431569999999999</v>
      </c>
      <c r="E37" s="513">
        <f>ROUND('Va. Peajes transporte'!E83+'Vb. Peajes distribución'!E83,6)</f>
        <v>3.2409599999999998</v>
      </c>
      <c r="F37" s="513">
        <f>ROUND('Va. Peajes transporte'!F83+'Vb. Peajes distribución'!F83,6)</f>
        <v>0.63814700000000002</v>
      </c>
      <c r="G37" s="517">
        <f>ROUND('Va. Peajes transporte'!G83+'Vb. Peajes distribución'!G83,6)</f>
        <v>0.63814700000000002</v>
      </c>
      <c r="H37" s="1"/>
      <c r="I37" s="413">
        <f>ROUND('Va. Peajes transporte'!I83+'Vb. Peajes distribución'!I83,6)</f>
        <v>7.7739999999999997E-3</v>
      </c>
      <c r="J37" s="414">
        <f>ROUND('Va. Peajes transporte'!J83+'Vb. Peajes distribución'!J83,6)</f>
        <v>6.515E-3</v>
      </c>
      <c r="K37" s="414">
        <f>ROUND('Va. Peajes transporte'!K83+'Vb. Peajes distribución'!K83,6)</f>
        <v>3.9170000000000003E-3</v>
      </c>
      <c r="L37" s="414">
        <f>ROUND('Va. Peajes transporte'!L83+'Vb. Peajes distribución'!L83,6)</f>
        <v>1.8799999999999999E-3</v>
      </c>
      <c r="M37" s="414">
        <f>ROUND('Va. Peajes transporte'!M83+'Vb. Peajes distribución'!M83,6)</f>
        <v>2.3499999999999999E-4</v>
      </c>
      <c r="N37" s="415">
        <f>ROUND('Va. Peajes transporte'!N83+'Vb. Peajes distribución'!N83,6)</f>
        <v>2.3499999999999999E-4</v>
      </c>
      <c r="P37" s="520"/>
      <c r="Q37" s="520"/>
      <c r="R37" s="520"/>
      <c r="S37" s="520"/>
      <c r="T37" s="520"/>
      <c r="U37" s="520"/>
      <c r="V37" s="520"/>
      <c r="W37" s="520"/>
      <c r="X37" s="520"/>
      <c r="Y37" s="520"/>
      <c r="Z37" s="520"/>
      <c r="AA37" s="520"/>
      <c r="AB37" s="520"/>
    </row>
    <row r="38" spans="1:28" ht="18" customHeight="1" thickBot="1" x14ac:dyDescent="0.25">
      <c r="A38" s="242" t="s">
        <v>103</v>
      </c>
      <c r="B38" s="518">
        <f>ROUND('Va. Peajes transporte'!B84+'Vb. Peajes distribución'!B84,6)</f>
        <v>10.314368</v>
      </c>
      <c r="C38" s="518">
        <f>ROUND('Va. Peajes transporte'!C84+'Vb. Peajes distribución'!C84,6)</f>
        <v>7.8940619999999999</v>
      </c>
      <c r="D38" s="518">
        <f>ROUND('Va. Peajes transporte'!D84+'Vb. Peajes distribución'!D84,6)</f>
        <v>3.7972350000000001</v>
      </c>
      <c r="E38" s="518">
        <f>ROUND('Va. Peajes transporte'!E84+'Vb. Peajes distribución'!E84,6)</f>
        <v>2.7952900000000001</v>
      </c>
      <c r="F38" s="518">
        <f>ROUND('Va. Peajes transporte'!F84+'Vb. Peajes distribución'!F84,6)</f>
        <v>0.52812000000000003</v>
      </c>
      <c r="G38" s="519">
        <f>ROUND('Va. Peajes transporte'!G84+'Vb. Peajes distribución'!G84,6)</f>
        <v>0.52812000000000003</v>
      </c>
      <c r="H38" s="1"/>
      <c r="I38" s="416">
        <f>ROUND('Va. Peajes transporte'!I84+'Vb. Peajes distribución'!I84,6)</f>
        <v>7.0460000000000002E-3</v>
      </c>
      <c r="J38" s="417">
        <f>ROUND('Va. Peajes transporte'!J84+'Vb. Peajes distribución'!J84,6)</f>
        <v>5.7429999999999998E-3</v>
      </c>
      <c r="K38" s="417">
        <f>ROUND('Va. Peajes transporte'!K84+'Vb. Peajes distribución'!K84,6)</f>
        <v>3.0630000000000002E-3</v>
      </c>
      <c r="L38" s="417">
        <f>ROUND('Va. Peajes transporte'!L84+'Vb. Peajes distribución'!L84,6)</f>
        <v>2.4329999999999998E-3</v>
      </c>
      <c r="M38" s="417">
        <f>ROUND('Va. Peajes transporte'!M84+'Vb. Peajes distribución'!M84,6)</f>
        <v>1.56E-4</v>
      </c>
      <c r="N38" s="418">
        <f>ROUND('Va. Peajes transporte'!N84+'Vb. Peajes distribución'!N84,6)</f>
        <v>1.56E-4</v>
      </c>
      <c r="P38" s="520"/>
      <c r="Q38" s="520"/>
      <c r="R38" s="520"/>
      <c r="S38" s="520"/>
      <c r="T38" s="520"/>
      <c r="U38" s="520"/>
      <c r="V38" s="520"/>
      <c r="W38" s="520"/>
      <c r="X38" s="520"/>
      <c r="Y38" s="520"/>
      <c r="Z38" s="520"/>
      <c r="AA38" s="520"/>
      <c r="AB38" s="520"/>
    </row>
    <row r="39" spans="1:28" x14ac:dyDescent="0.2">
      <c r="B39" s="309"/>
      <c r="C39" s="309"/>
      <c r="D39" s="306"/>
      <c r="E39" s="306"/>
    </row>
    <row r="40" spans="1:28" s="5" customFormat="1" ht="16.5" customHeight="1" x14ac:dyDescent="0.2">
      <c r="A40" s="5" t="s">
        <v>193</v>
      </c>
    </row>
    <row r="41" spans="1:28" ht="5.0999999999999996" customHeight="1" thickBot="1" x14ac:dyDescent="0.25">
      <c r="A41" s="203"/>
      <c r="B41" s="205"/>
      <c r="C41" s="40"/>
    </row>
    <row r="42" spans="1:28" ht="24" customHeight="1" x14ac:dyDescent="0.2">
      <c r="A42" s="611" t="s">
        <v>53</v>
      </c>
      <c r="B42" s="173" t="s">
        <v>95</v>
      </c>
      <c r="C42" s="173"/>
      <c r="D42" s="173"/>
      <c r="E42" s="173"/>
      <c r="F42" s="173"/>
      <c r="G42" s="174"/>
      <c r="I42" s="191" t="s">
        <v>96</v>
      </c>
      <c r="J42" s="173"/>
      <c r="K42" s="173"/>
      <c r="L42" s="173"/>
      <c r="M42" s="173"/>
      <c r="N42" s="174"/>
    </row>
    <row r="43" spans="1:28" ht="24" customHeight="1" x14ac:dyDescent="0.2">
      <c r="A43" s="612"/>
      <c r="B43" s="175" t="s">
        <v>15</v>
      </c>
      <c r="C43" s="175" t="s">
        <v>16</v>
      </c>
      <c r="D43" s="175" t="s">
        <v>17</v>
      </c>
      <c r="E43" s="175" t="s">
        <v>18</v>
      </c>
      <c r="F43" s="175" t="s">
        <v>19</v>
      </c>
      <c r="G43" s="176" t="s">
        <v>20</v>
      </c>
      <c r="I43" s="192" t="s">
        <v>15</v>
      </c>
      <c r="J43" s="175" t="s">
        <v>16</v>
      </c>
      <c r="K43" s="175" t="s">
        <v>17</v>
      </c>
      <c r="L43" s="175" t="s">
        <v>18</v>
      </c>
      <c r="M43" s="175" t="s">
        <v>19</v>
      </c>
      <c r="N43" s="176" t="s">
        <v>20</v>
      </c>
    </row>
    <row r="44" spans="1:28" ht="15" customHeight="1" x14ac:dyDescent="0.2">
      <c r="A44" s="236" t="s">
        <v>98</v>
      </c>
      <c r="B44" s="206">
        <f>B33/$C$33</f>
        <v>24.48450404200705</v>
      </c>
      <c r="C44" s="206">
        <f>C33/$C$33</f>
        <v>1</v>
      </c>
      <c r="D44" s="206"/>
      <c r="E44" s="206"/>
      <c r="F44" s="206"/>
      <c r="G44" s="209"/>
      <c r="I44" s="208">
        <f>I33/$K$33</f>
        <v>39.526315789473678</v>
      </c>
      <c r="J44" s="206">
        <f t="shared" ref="J44:K44" si="1">J33/$K$33</f>
        <v>27.234708392603128</v>
      </c>
      <c r="K44" s="206">
        <f t="shared" si="1"/>
        <v>1</v>
      </c>
      <c r="L44" s="206"/>
      <c r="M44" s="206"/>
      <c r="N44" s="209"/>
      <c r="P44" s="309"/>
      <c r="Q44" s="309"/>
      <c r="R44" s="309"/>
      <c r="S44" s="309"/>
      <c r="T44" s="309"/>
      <c r="U44" s="309"/>
    </row>
    <row r="45" spans="1:28" ht="15" customHeight="1" x14ac:dyDescent="0.2">
      <c r="A45" s="239" t="s">
        <v>99</v>
      </c>
      <c r="B45" s="207">
        <f t="shared" ref="B45:G49" si="2">B34/$G34</f>
        <v>9.3459312293101462</v>
      </c>
      <c r="C45" s="207">
        <f t="shared" si="2"/>
        <v>8.1512495624905945</v>
      </c>
      <c r="D45" s="207">
        <f t="shared" si="2"/>
        <v>3.2850049829315666</v>
      </c>
      <c r="E45" s="207">
        <f t="shared" si="2"/>
        <v>2.4961316598283094</v>
      </c>
      <c r="F45" s="207">
        <f t="shared" si="2"/>
        <v>1</v>
      </c>
      <c r="G45" s="211">
        <f t="shared" si="2"/>
        <v>1</v>
      </c>
      <c r="I45" s="210">
        <f t="shared" ref="I45:N49" si="3">I34/$N34</f>
        <v>55.302180685358259</v>
      </c>
      <c r="J45" s="207">
        <f t="shared" si="3"/>
        <v>45.380062305295951</v>
      </c>
      <c r="K45" s="207">
        <f t="shared" si="3"/>
        <v>24.781931464174455</v>
      </c>
      <c r="L45" s="207">
        <f t="shared" si="3"/>
        <v>16.700934579439252</v>
      </c>
      <c r="M45" s="207">
        <f t="shared" si="3"/>
        <v>1</v>
      </c>
      <c r="N45" s="211">
        <f t="shared" si="3"/>
        <v>1</v>
      </c>
      <c r="P45" s="309"/>
      <c r="Q45" s="309"/>
      <c r="R45" s="309"/>
      <c r="S45" s="309"/>
      <c r="T45" s="309"/>
      <c r="U45" s="309"/>
    </row>
    <row r="46" spans="1:28" ht="15" customHeight="1" x14ac:dyDescent="0.2">
      <c r="A46" s="239" t="s">
        <v>100</v>
      </c>
      <c r="B46" s="207">
        <f t="shared" si="2"/>
        <v>36.455686001392891</v>
      </c>
      <c r="C46" s="207">
        <f t="shared" si="2"/>
        <v>36.455686001392891</v>
      </c>
      <c r="D46" s="207">
        <f t="shared" si="2"/>
        <v>19.875775544721918</v>
      </c>
      <c r="E46" s="207">
        <f t="shared" si="2"/>
        <v>15.054997512685304</v>
      </c>
      <c r="F46" s="207">
        <f t="shared" si="2"/>
        <v>1</v>
      </c>
      <c r="G46" s="211">
        <f t="shared" si="2"/>
        <v>1</v>
      </c>
      <c r="I46" s="210">
        <f t="shared" si="3"/>
        <v>55.123809523809527</v>
      </c>
      <c r="J46" s="207">
        <f t="shared" si="3"/>
        <v>45.228571428571428</v>
      </c>
      <c r="K46" s="207">
        <f t="shared" si="3"/>
        <v>25.790476190476188</v>
      </c>
      <c r="L46" s="207">
        <f t="shared" si="3"/>
        <v>17.231746031746031</v>
      </c>
      <c r="M46" s="207">
        <f t="shared" si="3"/>
        <v>1</v>
      </c>
      <c r="N46" s="211">
        <f t="shared" si="3"/>
        <v>1</v>
      </c>
      <c r="P46" s="309"/>
      <c r="Q46" s="309"/>
      <c r="R46" s="309"/>
      <c r="S46" s="309"/>
      <c r="T46" s="309"/>
      <c r="U46" s="309"/>
    </row>
    <row r="47" spans="1:28" ht="15" customHeight="1" x14ac:dyDescent="0.2">
      <c r="A47" s="239" t="s">
        <v>101</v>
      </c>
      <c r="B47" s="207">
        <f t="shared" si="2"/>
        <v>32.484215406527966</v>
      </c>
      <c r="C47" s="207">
        <f t="shared" si="2"/>
        <v>32.484215406527966</v>
      </c>
      <c r="D47" s="207">
        <f t="shared" si="2"/>
        <v>15.8896392843999</v>
      </c>
      <c r="E47" s="207">
        <f t="shared" si="2"/>
        <v>14.455320399764846</v>
      </c>
      <c r="F47" s="207">
        <f t="shared" si="2"/>
        <v>1</v>
      </c>
      <c r="G47" s="211">
        <f t="shared" si="2"/>
        <v>1</v>
      </c>
      <c r="I47" s="210">
        <f t="shared" si="3"/>
        <v>52.689655172413801</v>
      </c>
      <c r="J47" s="207">
        <f t="shared" si="3"/>
        <v>43.270114942528735</v>
      </c>
      <c r="K47" s="207">
        <f t="shared" si="3"/>
        <v>24.298850574712642</v>
      </c>
      <c r="L47" s="207">
        <f t="shared" si="3"/>
        <v>16.977011494252874</v>
      </c>
      <c r="M47" s="207">
        <f t="shared" si="3"/>
        <v>1</v>
      </c>
      <c r="N47" s="211">
        <f t="shared" si="3"/>
        <v>1</v>
      </c>
      <c r="P47" s="309"/>
      <c r="Q47" s="309"/>
      <c r="R47" s="309"/>
      <c r="S47" s="309"/>
      <c r="T47" s="309"/>
      <c r="U47" s="309"/>
    </row>
    <row r="48" spans="1:28" ht="15" customHeight="1" x14ac:dyDescent="0.2">
      <c r="A48" s="239" t="s">
        <v>102</v>
      </c>
      <c r="B48" s="207">
        <f t="shared" si="2"/>
        <v>15.703358317127558</v>
      </c>
      <c r="C48" s="207">
        <f t="shared" si="2"/>
        <v>15.703358317127558</v>
      </c>
      <c r="D48" s="207">
        <f t="shared" si="2"/>
        <v>8.6863324594489981</v>
      </c>
      <c r="E48" s="207">
        <f t="shared" si="2"/>
        <v>5.0787044364386258</v>
      </c>
      <c r="F48" s="207">
        <f t="shared" si="2"/>
        <v>1</v>
      </c>
      <c r="G48" s="211">
        <f t="shared" si="2"/>
        <v>1</v>
      </c>
      <c r="I48" s="210">
        <f t="shared" si="3"/>
        <v>33.080851063829783</v>
      </c>
      <c r="J48" s="207">
        <f t="shared" si="3"/>
        <v>27.723404255319149</v>
      </c>
      <c r="K48" s="207">
        <f t="shared" si="3"/>
        <v>16.668085106382982</v>
      </c>
      <c r="L48" s="207">
        <f t="shared" si="3"/>
        <v>8</v>
      </c>
      <c r="M48" s="207">
        <f t="shared" si="3"/>
        <v>1</v>
      </c>
      <c r="N48" s="211">
        <f t="shared" si="3"/>
        <v>1</v>
      </c>
      <c r="P48" s="309"/>
      <c r="Q48" s="309"/>
      <c r="R48" s="309"/>
      <c r="S48" s="309"/>
      <c r="T48" s="309"/>
      <c r="U48" s="309"/>
    </row>
    <row r="49" spans="1:21" ht="15" customHeight="1" thickBot="1" x14ac:dyDescent="0.25">
      <c r="A49" s="242" t="s">
        <v>103</v>
      </c>
      <c r="B49" s="213">
        <f t="shared" si="2"/>
        <v>19.530349163068998</v>
      </c>
      <c r="C49" s="213">
        <f t="shared" si="2"/>
        <v>14.947477845944103</v>
      </c>
      <c r="D49" s="213">
        <f t="shared" si="2"/>
        <v>7.1900988411724605</v>
      </c>
      <c r="E49" s="213">
        <f t="shared" si="2"/>
        <v>5.2929069150950543</v>
      </c>
      <c r="F49" s="213">
        <f t="shared" si="2"/>
        <v>1</v>
      </c>
      <c r="G49" s="214">
        <f t="shared" si="2"/>
        <v>1</v>
      </c>
      <c r="I49" s="212">
        <f t="shared" si="3"/>
        <v>45.166666666666671</v>
      </c>
      <c r="J49" s="213">
        <f t="shared" si="3"/>
        <v>36.814102564102562</v>
      </c>
      <c r="K49" s="213">
        <f t="shared" si="3"/>
        <v>19.634615384615387</v>
      </c>
      <c r="L49" s="213">
        <f t="shared" si="3"/>
        <v>15.596153846153845</v>
      </c>
      <c r="M49" s="213">
        <f t="shared" si="3"/>
        <v>1</v>
      </c>
      <c r="N49" s="214">
        <f t="shared" si="3"/>
        <v>1</v>
      </c>
      <c r="P49" s="309"/>
      <c r="Q49" s="309"/>
      <c r="R49" s="309"/>
      <c r="S49" s="309"/>
      <c r="T49" s="309"/>
      <c r="U49" s="309"/>
    </row>
    <row r="71" spans="1:14" s="5" customFormat="1" ht="16.5" customHeight="1" x14ac:dyDescent="0.2">
      <c r="A71" s="5" t="s">
        <v>114</v>
      </c>
    </row>
    <row r="72" spans="1:14" ht="5.0999999999999996" customHeight="1" thickBot="1" x14ac:dyDescent="0.25">
      <c r="A72" s="203"/>
      <c r="B72" s="205"/>
      <c r="C72" s="40"/>
    </row>
    <row r="73" spans="1:14" ht="18" customHeight="1" x14ac:dyDescent="0.2">
      <c r="A73" s="611" t="s">
        <v>53</v>
      </c>
      <c r="B73" s="173" t="s">
        <v>95</v>
      </c>
      <c r="C73" s="173"/>
      <c r="D73" s="173"/>
      <c r="E73" s="173"/>
      <c r="F73" s="173"/>
      <c r="G73" s="174"/>
      <c r="I73" s="191" t="s">
        <v>96</v>
      </c>
      <c r="J73" s="173"/>
      <c r="K73" s="173"/>
      <c r="L73" s="173"/>
      <c r="M73" s="173"/>
      <c r="N73" s="174"/>
    </row>
    <row r="74" spans="1:14" ht="18" customHeight="1" x14ac:dyDescent="0.2">
      <c r="A74" s="612"/>
      <c r="B74" s="175" t="s">
        <v>15</v>
      </c>
      <c r="C74" s="175" t="s">
        <v>16</v>
      </c>
      <c r="D74" s="175" t="s">
        <v>17</v>
      </c>
      <c r="E74" s="175" t="s">
        <v>18</v>
      </c>
      <c r="F74" s="175" t="s">
        <v>19</v>
      </c>
      <c r="G74" s="176" t="s">
        <v>20</v>
      </c>
      <c r="I74" s="192" t="s">
        <v>15</v>
      </c>
      <c r="J74" s="175" t="s">
        <v>16</v>
      </c>
      <c r="K74" s="175" t="s">
        <v>17</v>
      </c>
      <c r="L74" s="175" t="s">
        <v>18</v>
      </c>
      <c r="M74" s="175" t="s">
        <v>19</v>
      </c>
      <c r="N74" s="176" t="s">
        <v>20</v>
      </c>
    </row>
    <row r="75" spans="1:14" ht="18" customHeight="1" x14ac:dyDescent="0.2">
      <c r="A75" s="179" t="s">
        <v>10</v>
      </c>
      <c r="B75" s="206">
        <f t="shared" ref="B75:G79" si="4">B34/B$38</f>
        <v>1.0174079497648327</v>
      </c>
      <c r="C75" s="206">
        <f t="shared" si="4"/>
        <v>1.1594147601070273</v>
      </c>
      <c r="D75" s="206">
        <f t="shared" si="4"/>
        <v>0.97136785055441643</v>
      </c>
      <c r="E75" s="206">
        <f t="shared" si="4"/>
        <v>1.0026648397840652</v>
      </c>
      <c r="F75" s="206">
        <f t="shared" si="4"/>
        <v>2.1260944482314623</v>
      </c>
      <c r="G75" s="209">
        <f t="shared" si="4"/>
        <v>2.1260944482314623</v>
      </c>
      <c r="I75" s="208">
        <f t="shared" ref="I75:N79" si="5">I34/I$38</f>
        <v>2.5194436559750213</v>
      </c>
      <c r="J75" s="206">
        <f t="shared" si="5"/>
        <v>2.536479192059899</v>
      </c>
      <c r="K75" s="206">
        <f t="shared" si="5"/>
        <v>2.5971269996735225</v>
      </c>
      <c r="L75" s="206">
        <f t="shared" si="5"/>
        <v>2.2034525277435266</v>
      </c>
      <c r="M75" s="206">
        <f t="shared" si="5"/>
        <v>2.0576923076923075</v>
      </c>
      <c r="N75" s="209">
        <f t="shared" si="5"/>
        <v>2.0576923076923075</v>
      </c>
    </row>
    <row r="76" spans="1:14" ht="18" customHeight="1" x14ac:dyDescent="0.2">
      <c r="A76" s="182" t="s">
        <v>11</v>
      </c>
      <c r="B76" s="207">
        <f t="shared" si="4"/>
        <v>1.7762411618433627</v>
      </c>
      <c r="C76" s="207">
        <f t="shared" si="4"/>
        <v>2.3208336848633819</v>
      </c>
      <c r="D76" s="207">
        <f t="shared" si="4"/>
        <v>2.630485339990809</v>
      </c>
      <c r="E76" s="207">
        <f t="shared" si="4"/>
        <v>2.7066561966736904</v>
      </c>
      <c r="F76" s="207">
        <f t="shared" si="4"/>
        <v>0.9515829735666137</v>
      </c>
      <c r="G76" s="211">
        <f t="shared" si="4"/>
        <v>0.9515829735666137</v>
      </c>
      <c r="I76" s="210">
        <f t="shared" si="5"/>
        <v>2.4643769514618223</v>
      </c>
      <c r="J76" s="207">
        <f t="shared" si="5"/>
        <v>2.480759185094898</v>
      </c>
      <c r="K76" s="207">
        <f t="shared" si="5"/>
        <v>2.6523016650342797</v>
      </c>
      <c r="L76" s="207">
        <f t="shared" si="5"/>
        <v>2.2309905466502262</v>
      </c>
      <c r="M76" s="207">
        <f t="shared" si="5"/>
        <v>2.0192307692307692</v>
      </c>
      <c r="N76" s="211">
        <f t="shared" si="5"/>
        <v>2.0192307692307692</v>
      </c>
    </row>
    <row r="77" spans="1:14" ht="18" customHeight="1" x14ac:dyDescent="0.2">
      <c r="A77" s="182" t="s">
        <v>12</v>
      </c>
      <c r="B77" s="207">
        <f t="shared" si="4"/>
        <v>1.3178597079336321</v>
      </c>
      <c r="C77" s="207">
        <f t="shared" si="4"/>
        <v>1.7219132558117736</v>
      </c>
      <c r="D77" s="207">
        <f t="shared" si="4"/>
        <v>1.7509993455764523</v>
      </c>
      <c r="E77" s="207">
        <f t="shared" si="4"/>
        <v>2.1639153719292095</v>
      </c>
      <c r="F77" s="207">
        <f t="shared" si="4"/>
        <v>0.79233128834355815</v>
      </c>
      <c r="G77" s="211">
        <f t="shared" si="4"/>
        <v>0.79233128834355815</v>
      </c>
      <c r="I77" s="210">
        <f t="shared" si="5"/>
        <v>1.3011637808685781</v>
      </c>
      <c r="J77" s="207">
        <f t="shared" si="5"/>
        <v>1.3109872888734111</v>
      </c>
      <c r="K77" s="207">
        <f t="shared" si="5"/>
        <v>1.3803460659484166</v>
      </c>
      <c r="L77" s="207">
        <f t="shared" si="5"/>
        <v>1.2141389231401563</v>
      </c>
      <c r="M77" s="207">
        <f t="shared" si="5"/>
        <v>1.1153846153846154</v>
      </c>
      <c r="N77" s="211">
        <f t="shared" si="5"/>
        <v>1.1153846153846154</v>
      </c>
    </row>
    <row r="78" spans="1:14" ht="18" customHeight="1" x14ac:dyDescent="0.2">
      <c r="A78" s="182" t="s">
        <v>13</v>
      </c>
      <c r="B78" s="207">
        <f t="shared" si="4"/>
        <v>0.97156229058338817</v>
      </c>
      <c r="C78" s="207">
        <f t="shared" si="4"/>
        <v>1.2694416385379288</v>
      </c>
      <c r="D78" s="207">
        <f t="shared" si="4"/>
        <v>1.4597877139550224</v>
      </c>
      <c r="E78" s="207">
        <f t="shared" si="4"/>
        <v>1.1594360513578197</v>
      </c>
      <c r="F78" s="207">
        <f t="shared" si="4"/>
        <v>1.2083371203514353</v>
      </c>
      <c r="G78" s="211">
        <f t="shared" si="4"/>
        <v>1.2083371203514353</v>
      </c>
      <c r="I78" s="210">
        <f t="shared" si="5"/>
        <v>1.103321033210332</v>
      </c>
      <c r="J78" s="207">
        <f t="shared" si="5"/>
        <v>1.1344245168030647</v>
      </c>
      <c r="K78" s="207">
        <f t="shared" si="5"/>
        <v>1.2788116225922299</v>
      </c>
      <c r="L78" s="207">
        <f t="shared" si="5"/>
        <v>0.77270859021783811</v>
      </c>
      <c r="M78" s="207">
        <f t="shared" si="5"/>
        <v>1.5064102564102564</v>
      </c>
      <c r="N78" s="211">
        <f t="shared" si="5"/>
        <v>1.5064102564102564</v>
      </c>
    </row>
    <row r="79" spans="1:14" ht="18" customHeight="1" thickBot="1" x14ac:dyDescent="0.25">
      <c r="A79" s="288" t="s">
        <v>14</v>
      </c>
      <c r="B79" s="299">
        <f t="shared" si="4"/>
        <v>1</v>
      </c>
      <c r="C79" s="299">
        <f t="shared" si="4"/>
        <v>1</v>
      </c>
      <c r="D79" s="299">
        <f t="shared" si="4"/>
        <v>1</v>
      </c>
      <c r="E79" s="299">
        <f t="shared" si="4"/>
        <v>1</v>
      </c>
      <c r="F79" s="299">
        <f t="shared" si="4"/>
        <v>1</v>
      </c>
      <c r="G79" s="300">
        <f t="shared" si="4"/>
        <v>1</v>
      </c>
      <c r="I79" s="301">
        <f t="shared" si="5"/>
        <v>1</v>
      </c>
      <c r="J79" s="299">
        <f t="shared" si="5"/>
        <v>1</v>
      </c>
      <c r="K79" s="299">
        <f t="shared" si="5"/>
        <v>1</v>
      </c>
      <c r="L79" s="299">
        <f t="shared" si="5"/>
        <v>1</v>
      </c>
      <c r="M79" s="299">
        <f t="shared" si="5"/>
        <v>1</v>
      </c>
      <c r="N79" s="300">
        <f t="shared" si="5"/>
        <v>1</v>
      </c>
    </row>
    <row r="81" spans="1:10" s="5" customFormat="1" ht="16.5" customHeight="1" x14ac:dyDescent="0.2">
      <c r="A81" s="5" t="s">
        <v>133</v>
      </c>
    </row>
    <row r="83" spans="1:10" s="408" customFormat="1" ht="16.5" customHeight="1" x14ac:dyDescent="0.2">
      <c r="A83" s="408" t="s">
        <v>134</v>
      </c>
    </row>
    <row r="84" spans="1:10" ht="5.25" customHeight="1" thickBot="1" x14ac:dyDescent="0.25"/>
    <row r="85" spans="1:10" ht="22.5" customHeight="1" x14ac:dyDescent="0.2">
      <c r="A85" s="611" t="s">
        <v>97</v>
      </c>
      <c r="B85" s="173" t="s">
        <v>129</v>
      </c>
      <c r="C85" s="173"/>
      <c r="D85" s="173"/>
      <c r="E85" s="613" t="s">
        <v>124</v>
      </c>
    </row>
    <row r="86" spans="1:10" ht="25.5" x14ac:dyDescent="0.2">
      <c r="A86" s="612"/>
      <c r="B86" s="253" t="s">
        <v>95</v>
      </c>
      <c r="C86" s="253" t="s">
        <v>96</v>
      </c>
      <c r="D86" s="253" t="s">
        <v>4</v>
      </c>
      <c r="E86" s="614"/>
    </row>
    <row r="87" spans="1:10" ht="18" customHeight="1" x14ac:dyDescent="0.2">
      <c r="A87" s="236" t="s">
        <v>98</v>
      </c>
      <c r="B87" s="254">
        <f>'VI. Diseño del Peaje 2.0 TD'!B78</f>
        <v>2998502.7264313856</v>
      </c>
      <c r="C87" s="254">
        <f>'VI. Diseño del Peaje 2.0 TD'!C78</f>
        <v>999500.9088104621</v>
      </c>
      <c r="D87" s="255">
        <f>SUM(B87:C87)</f>
        <v>3998003.6352418475</v>
      </c>
      <c r="E87" s="258">
        <f>B87/D87</f>
        <v>0.75</v>
      </c>
      <c r="G87" s="40"/>
      <c r="I87" s="40"/>
      <c r="J87" s="252"/>
    </row>
    <row r="88" spans="1:10" ht="18" customHeight="1" x14ac:dyDescent="0.2">
      <c r="A88" s="239" t="s">
        <v>99</v>
      </c>
      <c r="B88" s="256">
        <f>'Va. Peajes transporte'!B91+'Vb. Peajes distribución'!B91</f>
        <v>528383.33982711355</v>
      </c>
      <c r="C88" s="256">
        <f>'Va. Peajes transporte'!C91+'Vb. Peajes distribución'!C91</f>
        <v>216648.39261229627</v>
      </c>
      <c r="D88" s="257">
        <f t="shared" ref="D88:D92" si="6">SUM(B88:C88)</f>
        <v>745031.73243940983</v>
      </c>
      <c r="E88" s="259">
        <f t="shared" ref="E88:E92" si="7">B88/D88</f>
        <v>0.70920917434893915</v>
      </c>
      <c r="G88" s="40"/>
      <c r="I88" s="40"/>
    </row>
    <row r="89" spans="1:10" ht="18" customHeight="1" x14ac:dyDescent="0.2">
      <c r="A89" s="239" t="s">
        <v>100</v>
      </c>
      <c r="B89" s="256">
        <f>'Va. Peajes transporte'!B92+'Vb. Peajes distribución'!B92</f>
        <v>1092952.3149878094</v>
      </c>
      <c r="C89" s="256">
        <f>'Va. Peajes transporte'!C92+'Vb. Peajes distribución'!C92</f>
        <v>380592.24884347356</v>
      </c>
      <c r="D89" s="257">
        <f t="shared" si="6"/>
        <v>1473544.563831283</v>
      </c>
      <c r="E89" s="259">
        <f t="shared" si="7"/>
        <v>0.74171649898804792</v>
      </c>
      <c r="G89" s="40"/>
      <c r="I89" s="40"/>
    </row>
    <row r="90" spans="1:10" ht="18" customHeight="1" x14ac:dyDescent="0.2">
      <c r="A90" s="239" t="s">
        <v>101</v>
      </c>
      <c r="B90" s="256">
        <f>'Va. Peajes transporte'!B93+'Vb. Peajes distribución'!B93</f>
        <v>177293.04817560554</v>
      </c>
      <c r="C90" s="256">
        <f>'Va. Peajes transporte'!C93+'Vb. Peajes distribución'!C93</f>
        <v>63977.428684521474</v>
      </c>
      <c r="D90" s="257">
        <f t="shared" si="6"/>
        <v>241270.476860127</v>
      </c>
      <c r="E90" s="259">
        <f t="shared" si="7"/>
        <v>0.73483109281699877</v>
      </c>
      <c r="G90" s="40"/>
      <c r="I90" s="40"/>
    </row>
    <row r="91" spans="1:10" ht="18" customHeight="1" x14ac:dyDescent="0.2">
      <c r="A91" s="239" t="s">
        <v>102</v>
      </c>
      <c r="B91" s="256">
        <f>'Va. Peajes transporte'!B94+'Vb. Peajes distribución'!B94</f>
        <v>60009.09208941806</v>
      </c>
      <c r="C91" s="256">
        <f>'Va. Peajes transporte'!C94+'Vb. Peajes distribución'!C94</f>
        <v>23690.07835799914</v>
      </c>
      <c r="D91" s="257">
        <f t="shared" si="6"/>
        <v>83699.1704474172</v>
      </c>
      <c r="E91" s="259">
        <f t="shared" si="7"/>
        <v>0.71696161107257217</v>
      </c>
      <c r="G91" s="40"/>
      <c r="I91" s="40"/>
    </row>
    <row r="92" spans="1:10" ht="18" customHeight="1" thickBot="1" x14ac:dyDescent="0.25">
      <c r="A92" s="242" t="s">
        <v>103</v>
      </c>
      <c r="B92" s="260">
        <f>'Va. Peajes transporte'!B95+'Vb. Peajes distribución'!B95</f>
        <v>89497.105292808425</v>
      </c>
      <c r="C92" s="260">
        <f>'Va. Peajes transporte'!C95+'Vb. Peajes distribución'!C95</f>
        <v>37800.236000082943</v>
      </c>
      <c r="D92" s="261">
        <f t="shared" si="6"/>
        <v>127297.34129289136</v>
      </c>
      <c r="E92" s="262">
        <f t="shared" si="7"/>
        <v>0.70305557354013792</v>
      </c>
      <c r="G92" s="40"/>
      <c r="I92" s="40"/>
    </row>
    <row r="93" spans="1:10" ht="7.5" customHeight="1" thickBot="1" x14ac:dyDescent="0.25">
      <c r="G93" s="40"/>
    </row>
    <row r="94" spans="1:10" s="1" customFormat="1" ht="18" customHeight="1" thickBot="1" x14ac:dyDescent="0.25">
      <c r="A94" s="58" t="s">
        <v>4</v>
      </c>
      <c r="B94" s="397">
        <f>SUM(B87:B92)</f>
        <v>4946637.6268041413</v>
      </c>
      <c r="C94" s="397">
        <f>SUM(C87:C92)</f>
        <v>1722209.2933088357</v>
      </c>
      <c r="D94" s="398">
        <f>SUM(B94:C94)</f>
        <v>6668846.9201129768</v>
      </c>
      <c r="E94" s="399">
        <f>B94/D94</f>
        <v>0.74175306256997431</v>
      </c>
      <c r="G94" s="40"/>
    </row>
    <row r="95" spans="1:10" s="1" customFormat="1" ht="18" customHeight="1" x14ac:dyDescent="0.2">
      <c r="A95" s="284"/>
      <c r="B95" s="285"/>
      <c r="C95" s="285"/>
      <c r="D95" s="286">
        <f>D94-SUM('I. Datos de entrada'!$C$14,'I. Datos de entrada'!$C$29)</f>
        <v>0</v>
      </c>
      <c r="E95" s="287"/>
    </row>
    <row r="96" spans="1:10" s="408" customFormat="1" ht="16.5" customHeight="1" x14ac:dyDescent="0.2">
      <c r="A96" s="408" t="s">
        <v>135</v>
      </c>
    </row>
    <row r="97" spans="1:10" ht="4.5" customHeight="1" thickBot="1" x14ac:dyDescent="0.3">
      <c r="A97" s="60"/>
    </row>
    <row r="98" spans="1:10" ht="22.5" customHeight="1" x14ac:dyDescent="0.2">
      <c r="A98" s="611" t="s">
        <v>97</v>
      </c>
      <c r="B98" s="173" t="s">
        <v>129</v>
      </c>
      <c r="C98" s="173"/>
      <c r="D98" s="173"/>
      <c r="E98" s="613" t="s">
        <v>131</v>
      </c>
    </row>
    <row r="99" spans="1:10" ht="18.75" customHeight="1" x14ac:dyDescent="0.2">
      <c r="A99" s="612"/>
      <c r="B99" s="253" t="s">
        <v>2</v>
      </c>
      <c r="C99" s="253" t="s">
        <v>130</v>
      </c>
      <c r="D99" s="253" t="s">
        <v>4</v>
      </c>
      <c r="E99" s="614"/>
    </row>
    <row r="100" spans="1:10" ht="18" customHeight="1" x14ac:dyDescent="0.2">
      <c r="A100" s="236" t="s">
        <v>98</v>
      </c>
      <c r="B100" s="254">
        <f>'VI. Diseño del Peaje 2.0 TD'!D76</f>
        <v>611192.78588045458</v>
      </c>
      <c r="C100" s="254">
        <f>'VI. Diseño del Peaje 2.0 TD'!D77</f>
        <v>3386810.8493613931</v>
      </c>
      <c r="D100" s="255">
        <f>SUM(B100:C100)</f>
        <v>3998003.6352418475</v>
      </c>
      <c r="E100" s="258">
        <f t="shared" ref="E100:E105" si="8">B100/D100</f>
        <v>0.15287449478356521</v>
      </c>
      <c r="F100" s="252"/>
      <c r="G100" s="40"/>
      <c r="I100" s="252"/>
      <c r="J100" s="252"/>
    </row>
    <row r="101" spans="1:10" ht="18" customHeight="1" x14ac:dyDescent="0.2">
      <c r="A101" s="239" t="s">
        <v>99</v>
      </c>
      <c r="B101" s="256">
        <f>'Va. Peajes transporte'!D91</f>
        <v>130837.74833870975</v>
      </c>
      <c r="C101" s="256">
        <f>'Vb. Peajes distribución'!D91</f>
        <v>614193.98410070012</v>
      </c>
      <c r="D101" s="257">
        <f t="shared" ref="D101:D105" si="9">SUM(B101:C101)</f>
        <v>745031.73243940983</v>
      </c>
      <c r="E101" s="259">
        <f t="shared" si="8"/>
        <v>0.17561365864285547</v>
      </c>
      <c r="F101" s="252"/>
      <c r="G101" s="40"/>
      <c r="I101" s="252"/>
      <c r="J101" s="252"/>
    </row>
    <row r="102" spans="1:10" ht="18" customHeight="1" x14ac:dyDescent="0.2">
      <c r="A102" s="239" t="s">
        <v>100</v>
      </c>
      <c r="B102" s="256">
        <f>'Va. Peajes transporte'!D92</f>
        <v>399736.87613854365</v>
      </c>
      <c r="C102" s="256">
        <f>'Vb. Peajes distribución'!D92</f>
        <v>1073807.6876927391</v>
      </c>
      <c r="D102" s="257">
        <f t="shared" si="9"/>
        <v>1473544.5638312828</v>
      </c>
      <c r="E102" s="259">
        <f t="shared" ref="E102:E104" si="10">B102/D102</f>
        <v>0.27127572925192683</v>
      </c>
      <c r="F102" s="252"/>
      <c r="G102" s="40"/>
      <c r="I102" s="252"/>
      <c r="J102" s="252"/>
    </row>
    <row r="103" spans="1:10" ht="18" customHeight="1" x14ac:dyDescent="0.2">
      <c r="A103" s="239" t="s">
        <v>101</v>
      </c>
      <c r="B103" s="256">
        <f>'Va. Peajes transporte'!D93</f>
        <v>98192.801641183003</v>
      </c>
      <c r="C103" s="256">
        <f>'Vb. Peajes distribución'!D93</f>
        <v>143077.675218944</v>
      </c>
      <c r="D103" s="257">
        <f t="shared" si="9"/>
        <v>241270.476860127</v>
      </c>
      <c r="E103" s="259">
        <f t="shared" si="10"/>
        <v>0.4069822504562331</v>
      </c>
      <c r="F103" s="252"/>
      <c r="G103" s="40"/>
      <c r="I103" s="252"/>
      <c r="J103" s="252"/>
    </row>
    <row r="104" spans="1:10" ht="18" customHeight="1" x14ac:dyDescent="0.2">
      <c r="A104" s="239" t="s">
        <v>102</v>
      </c>
      <c r="B104" s="256">
        <f>'Va. Peajes transporte'!D94</f>
        <v>46002.149321721459</v>
      </c>
      <c r="C104" s="256">
        <f>'Vb. Peajes distribución'!D94</f>
        <v>37697.021125695734</v>
      </c>
      <c r="D104" s="257">
        <f t="shared" si="9"/>
        <v>83699.170447417186</v>
      </c>
      <c r="E104" s="259">
        <f t="shared" si="10"/>
        <v>0.54961296600450371</v>
      </c>
      <c r="F104" s="252"/>
      <c r="G104" s="40"/>
      <c r="I104" s="252"/>
      <c r="J104" s="252"/>
    </row>
    <row r="105" spans="1:10" ht="18" customHeight="1" thickBot="1" x14ac:dyDescent="0.25">
      <c r="A105" s="242" t="s">
        <v>103</v>
      </c>
      <c r="B105" s="260">
        <f>'Va. Peajes transporte'!D95</f>
        <v>127297.34129289136</v>
      </c>
      <c r="C105" s="260">
        <f>'Vb. Peajes distribución'!D95</f>
        <v>0</v>
      </c>
      <c r="D105" s="261">
        <f t="shared" si="9"/>
        <v>127297.34129289136</v>
      </c>
      <c r="E105" s="262">
        <f t="shared" si="8"/>
        <v>1</v>
      </c>
      <c r="F105" s="252"/>
      <c r="G105" s="40"/>
      <c r="I105" s="252"/>
      <c r="J105" s="252"/>
    </row>
    <row r="106" spans="1:10" ht="7.5" customHeight="1" thickBot="1" x14ac:dyDescent="0.25"/>
    <row r="107" spans="1:10" s="1" customFormat="1" ht="18" customHeight="1" thickBot="1" x14ac:dyDescent="0.25">
      <c r="A107" s="58" t="s">
        <v>4</v>
      </c>
      <c r="B107" s="397">
        <f>SUM(B100:B105)</f>
        <v>1413259.7026135037</v>
      </c>
      <c r="C107" s="397">
        <f>SUM(C100:C105)</f>
        <v>5255587.2174994722</v>
      </c>
      <c r="D107" s="398">
        <f>SUM(B107:C107)</f>
        <v>6668846.9201129759</v>
      </c>
      <c r="E107" s="399">
        <f>B107/D107</f>
        <v>0.2119196496100651</v>
      </c>
      <c r="G107" s="40"/>
    </row>
    <row r="108" spans="1:10" x14ac:dyDescent="0.2">
      <c r="B108" s="303"/>
      <c r="C108" s="303"/>
      <c r="D108" s="311"/>
      <c r="E108" s="312"/>
    </row>
    <row r="109" spans="1:10" x14ac:dyDescent="0.2">
      <c r="B109" s="252"/>
      <c r="C109" s="252"/>
      <c r="D109" s="252"/>
    </row>
  </sheetData>
  <mergeCells count="9">
    <mergeCell ref="A9:A10"/>
    <mergeCell ref="A98:A99"/>
    <mergeCell ref="A31:A32"/>
    <mergeCell ref="A85:A86"/>
    <mergeCell ref="E85:E86"/>
    <mergeCell ref="E98:E99"/>
    <mergeCell ref="A42:A43"/>
    <mergeCell ref="A73:A74"/>
    <mergeCell ref="A19:A20"/>
  </mergeCells>
  <pageMargins left="0.7" right="0.7" top="0.75" bottom="0.75" header="0.3" footer="0.3"/>
  <pageSetup paperSize="9" scale="5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CD5E7-6AF5-43FB-8867-87D0768F143E}">
  <dimension ref="A1:P43"/>
  <sheetViews>
    <sheetView showGridLines="0" workbookViewId="0">
      <selection activeCell="I32" sqref="I32"/>
    </sheetView>
  </sheetViews>
  <sheetFormatPr baseColWidth="10" defaultRowHeight="12.75" x14ac:dyDescent="0.2"/>
  <cols>
    <col min="2" max="5" width="12.85546875" bestFit="1" customWidth="1"/>
    <col min="6" max="6" width="11.85546875" bestFit="1" customWidth="1"/>
    <col min="7" max="7" width="12.85546875" bestFit="1" customWidth="1"/>
  </cols>
  <sheetData>
    <row r="1" spans="1:7" s="1" customFormat="1" x14ac:dyDescent="0.2"/>
    <row r="2" spans="1:7" s="1" customFormat="1" x14ac:dyDescent="0.2"/>
    <row r="3" spans="1:7" s="1" customFormat="1" x14ac:dyDescent="0.2"/>
    <row r="4" spans="1:7" s="1" customFormat="1" x14ac:dyDescent="0.2"/>
    <row r="5" spans="1:7" s="1" customFormat="1" x14ac:dyDescent="0.2"/>
    <row r="6" spans="1:7" s="386" customFormat="1" ht="44.25" customHeight="1" x14ac:dyDescent="0.2">
      <c r="A6" s="621" t="s">
        <v>205</v>
      </c>
      <c r="B6" s="621"/>
      <c r="C6" s="621"/>
      <c r="D6" s="621"/>
      <c r="E6" s="621"/>
      <c r="F6" s="621"/>
      <c r="G6" s="621"/>
    </row>
    <row r="7" spans="1:7" ht="10.5" customHeight="1" thickBot="1" x14ac:dyDescent="0.25"/>
    <row r="8" spans="1:7" ht="25.5" customHeight="1" thickBot="1" x14ac:dyDescent="0.25">
      <c r="B8" s="188" t="s">
        <v>96</v>
      </c>
      <c r="C8" s="189"/>
      <c r="D8" s="189"/>
      <c r="E8" s="189"/>
      <c r="F8" s="189"/>
      <c r="G8" s="190"/>
    </row>
    <row r="9" spans="1:7" ht="13.5" thickBot="1" x14ac:dyDescent="0.25"/>
    <row r="10" spans="1:7" ht="30" customHeight="1" x14ac:dyDescent="0.2">
      <c r="A10" s="611" t="s">
        <v>53</v>
      </c>
      <c r="B10" s="173" t="s">
        <v>136</v>
      </c>
      <c r="C10" s="173"/>
      <c r="D10" s="173"/>
      <c r="E10" s="173"/>
      <c r="F10" s="173"/>
      <c r="G10" s="174"/>
    </row>
    <row r="11" spans="1:7" ht="30" customHeight="1" x14ac:dyDescent="0.2">
      <c r="A11" s="612"/>
      <c r="B11" s="175" t="s">
        <v>15</v>
      </c>
      <c r="C11" s="175" t="s">
        <v>16</v>
      </c>
      <c r="D11" s="175" t="s">
        <v>17</v>
      </c>
      <c r="E11" s="175" t="s">
        <v>18</v>
      </c>
      <c r="F11" s="175" t="s">
        <v>19</v>
      </c>
      <c r="G11" s="176" t="s">
        <v>20</v>
      </c>
    </row>
    <row r="12" spans="1:7" ht="15" customHeight="1" x14ac:dyDescent="0.2">
      <c r="A12" s="179" t="s">
        <v>10</v>
      </c>
      <c r="B12" s="294">
        <f>'IV. Metodología de asignación'!J85</f>
        <v>0</v>
      </c>
      <c r="C12" s="180">
        <f>'IV. Metodología de asignación'!K85</f>
        <v>0</v>
      </c>
      <c r="D12" s="180">
        <f>'IV. Metodología de asignación'!L85</f>
        <v>0</v>
      </c>
      <c r="E12" s="180">
        <f>'IV. Metodología de asignación'!M85</f>
        <v>0</v>
      </c>
      <c r="F12" s="180">
        <f>'IV. Metodología de asignación'!N85</f>
        <v>0</v>
      </c>
      <c r="G12" s="181">
        <f>'IV. Metodología de asignación'!O85</f>
        <v>0</v>
      </c>
    </row>
    <row r="13" spans="1:7" ht="15" customHeight="1" x14ac:dyDescent="0.2">
      <c r="A13" s="182" t="s">
        <v>11</v>
      </c>
      <c r="B13" s="295">
        <f>'IV. Metodología de asignación'!J86</f>
        <v>65942.848672338223</v>
      </c>
      <c r="C13" s="183">
        <f>'IV. Metodología de asignación'!K86</f>
        <v>64373.645064561177</v>
      </c>
      <c r="D13" s="183">
        <f>'IV. Metodología de asignación'!L86</f>
        <v>34764.023246530436</v>
      </c>
      <c r="E13" s="183">
        <f>'IV. Metodología de asignación'!M86</f>
        <v>26014.882695455439</v>
      </c>
      <c r="F13" s="183">
        <f>'IV. Metodología de asignación'!N86</f>
        <v>110.91535724600774</v>
      </c>
      <c r="G13" s="184">
        <f>'IV. Metodología de asignación'!O86</f>
        <v>4251.4027976089119</v>
      </c>
    </row>
    <row r="14" spans="1:7" ht="15" customHeight="1" x14ac:dyDescent="0.2">
      <c r="A14" s="182" t="s">
        <v>12</v>
      </c>
      <c r="B14" s="295">
        <f>'IV. Metodología de asignación'!J88</f>
        <v>9849.4745894689258</v>
      </c>
      <c r="C14" s="183">
        <f>'IV. Metodología de asignación'!K88</f>
        <v>10236.292519771634</v>
      </c>
      <c r="D14" s="183">
        <f>'IV. Metodología de asignación'!L88</f>
        <v>4631.4402061472174</v>
      </c>
      <c r="E14" s="183">
        <f>'IV. Metodología de asignación'!M88</f>
        <v>5090.9071462986522</v>
      </c>
      <c r="F14" s="183">
        <f>'IV. Metodología de asignación'!N88</f>
        <v>19.722697816341043</v>
      </c>
      <c r="G14" s="184">
        <f>'IV. Metodología de asignación'!O88</f>
        <v>600.27287093619475</v>
      </c>
    </row>
    <row r="15" spans="1:7" ht="15" customHeight="1" x14ac:dyDescent="0.2">
      <c r="A15" s="182" t="s">
        <v>13</v>
      </c>
      <c r="B15" s="295">
        <f>'IV. Metodología de asignación'!J91</f>
        <v>3317.0366489360431</v>
      </c>
      <c r="C15" s="183">
        <f>'IV. Metodología de asignación'!K91</f>
        <v>3660.9807028352952</v>
      </c>
      <c r="D15" s="183">
        <f>'IV. Metodología de asignación'!L91</f>
        <v>2096.5548656284113</v>
      </c>
      <c r="E15" s="183">
        <f>'IV. Metodología de asignación'!M91</f>
        <v>797.83158643971001</v>
      </c>
      <c r="F15" s="183">
        <f>'IV. Metodología de asignación'!N91</f>
        <v>84.230527552476701</v>
      </c>
      <c r="G15" s="184">
        <f>'IV. Metodología de asignación'!O91</f>
        <v>806.9133323131141</v>
      </c>
    </row>
    <row r="16" spans="1:7" s="291" customFormat="1" ht="15" customHeight="1" thickBot="1" x14ac:dyDescent="0.25">
      <c r="A16" s="288" t="s">
        <v>14</v>
      </c>
      <c r="B16" s="296">
        <f>'IV. Metodología de asignación'!J95</f>
        <v>11341.104699190626</v>
      </c>
      <c r="C16" s="289">
        <f>'IV. Metodología de asignación'!K95</f>
        <v>12635.50089474744</v>
      </c>
      <c r="D16" s="289">
        <f>'IV. Metodología de asignación'!L95</f>
        <v>5957.703366399357</v>
      </c>
      <c r="E16" s="289">
        <f>'IV. Metodología de asignación'!M95</f>
        <v>5773.0583899717785</v>
      </c>
      <c r="F16" s="289">
        <f>'IV. Metodología de asignación'!N95</f>
        <v>79.244269644758376</v>
      </c>
      <c r="G16" s="290">
        <f>'IV. Metodología de asignación'!O95</f>
        <v>2013.6243801289736</v>
      </c>
    </row>
    <row r="17" spans="1:16" ht="13.5" thickBot="1" x14ac:dyDescent="0.25">
      <c r="G17" s="230"/>
    </row>
    <row r="18" spans="1:16" ht="24" customHeight="1" x14ac:dyDescent="0.2">
      <c r="A18" s="611" t="s">
        <v>53</v>
      </c>
      <c r="B18" s="173" t="s">
        <v>112</v>
      </c>
      <c r="C18" s="173"/>
      <c r="D18" s="173"/>
      <c r="E18" s="173"/>
      <c r="F18" s="173"/>
      <c r="G18" s="174"/>
    </row>
    <row r="19" spans="1:16" ht="24" customHeight="1" x14ac:dyDescent="0.2">
      <c r="A19" s="612"/>
      <c r="B19" s="175" t="s">
        <v>15</v>
      </c>
      <c r="C19" s="175" t="s">
        <v>16</v>
      </c>
      <c r="D19" s="175" t="s">
        <v>17</v>
      </c>
      <c r="E19" s="175" t="s">
        <v>18</v>
      </c>
      <c r="F19" s="175" t="s">
        <v>19</v>
      </c>
      <c r="G19" s="176" t="s">
        <v>20</v>
      </c>
    </row>
    <row r="20" spans="1:16" ht="15" customHeight="1" x14ac:dyDescent="0.2">
      <c r="A20" s="179" t="s">
        <v>10</v>
      </c>
      <c r="B20" s="294">
        <f>('I. Datos de entrada'!C101+'I. Datos de entrada'!C102)*1000</f>
        <v>13352953.905236339</v>
      </c>
      <c r="C20" s="180">
        <f>('I. Datos de entrada'!D101+'I. Datos de entrada'!D102)*1000</f>
        <v>15499863.572660718</v>
      </c>
      <c r="D20" s="180">
        <f>('I. Datos de entrada'!E101+'I. Datos de entrada'!E102)*1000</f>
        <v>12537055.459432121</v>
      </c>
      <c r="E20" s="180">
        <f>('I. Datos de entrada'!F101+'I. Datos de entrada'!F102)*1000</f>
        <v>14399039.656119326</v>
      </c>
      <c r="F20" s="180">
        <f>('I. Datos de entrada'!G101+'I. Datos de entrada'!G102)*1000</f>
        <v>5935020.6608069735</v>
      </c>
      <c r="G20" s="181">
        <f>('I. Datos de entrada'!H101+'I. Datos de entrada'!H102)*1000</f>
        <v>49825478.775382869</v>
      </c>
    </row>
    <row r="21" spans="1:16" ht="15" customHeight="1" x14ac:dyDescent="0.2">
      <c r="A21" s="182" t="s">
        <v>11</v>
      </c>
      <c r="B21" s="295">
        <f>'I. Datos de entrada'!C103*1000</f>
        <v>7396910.433243664</v>
      </c>
      <c r="C21" s="183">
        <f>'I. Datos de entrada'!D103*1000</f>
        <v>8809422.437853219</v>
      </c>
      <c r="D21" s="183">
        <f>'I. Datos de entrada'!E103*1000</f>
        <v>8062648.7019551285</v>
      </c>
      <c r="E21" s="183">
        <f>'I. Datos de entrada'!F103*1000</f>
        <v>9228398.2395455018</v>
      </c>
      <c r="F21" s="183">
        <f>'I. Datos de entrada'!G103*1000</f>
        <v>3893275.3913115822</v>
      </c>
      <c r="G21" s="184">
        <f>'I. Datos de entrada'!H103*1000</f>
        <v>31178037.814005971</v>
      </c>
      <c r="K21" s="308"/>
    </row>
    <row r="22" spans="1:16" ht="15" customHeight="1" x14ac:dyDescent="0.2">
      <c r="A22" s="182" t="s">
        <v>12</v>
      </c>
      <c r="B22" s="295">
        <f>'I. Datos de entrada'!C104*1000</f>
        <v>2268514.7568242424</v>
      </c>
      <c r="C22" s="183">
        <f>'I. Datos de entrada'!D104*1000</f>
        <v>2871629.5145204309</v>
      </c>
      <c r="D22" s="183">
        <f>'I. Datos de entrada'!E104*1000</f>
        <v>2539953.0479179551</v>
      </c>
      <c r="E22" s="183">
        <f>'I. Datos de entrada'!F104*1000</f>
        <v>2900573.7498858585</v>
      </c>
      <c r="F22" s="183">
        <f>'I. Datos de entrada'!G104*1000</f>
        <v>1254844.8628044473</v>
      </c>
      <c r="G22" s="184">
        <f>'I. Datos de entrada'!H104*1000</f>
        <v>11662377.647346022</v>
      </c>
      <c r="K22" s="310"/>
    </row>
    <row r="23" spans="1:16" ht="15" customHeight="1" x14ac:dyDescent="0.2">
      <c r="A23" s="182" t="s">
        <v>13</v>
      </c>
      <c r="B23" s="295">
        <f>'I. Datos de entrada'!C105*1000</f>
        <v>943831.52038094413</v>
      </c>
      <c r="C23" s="183">
        <f>'I. Datos de entrada'!D105*1000</f>
        <v>1218374.3919692929</v>
      </c>
      <c r="D23" s="183">
        <f>'I. Datos de entrada'!E105*1000</f>
        <v>1117378.9321985433</v>
      </c>
      <c r="E23" s="183">
        <f>'I. Datos de entrada'!F105*1000</f>
        <v>1324283.9820812158</v>
      </c>
      <c r="F23" s="183">
        <f>'I. Datos de entrada'!G105*1000</f>
        <v>590946.68677154812</v>
      </c>
      <c r="G23" s="184">
        <f>'I. Datos de entrada'!H105*1000</f>
        <v>5989976.9354976024</v>
      </c>
    </row>
    <row r="24" spans="1:16" s="291" customFormat="1" ht="15" customHeight="1" thickBot="1" x14ac:dyDescent="0.25">
      <c r="A24" s="288" t="s">
        <v>14</v>
      </c>
      <c r="B24" s="296">
        <f>'I. Datos de entrada'!C106*1000</f>
        <v>1609599.1098236628</v>
      </c>
      <c r="C24" s="289">
        <f>'I. Datos de entrada'!D106*1000</f>
        <v>2200333.3999013901</v>
      </c>
      <c r="D24" s="289">
        <f>'I. Datos de entrada'!E106*1000</f>
        <v>1945094.6918400151</v>
      </c>
      <c r="E24" s="289">
        <f>'I. Datos de entrada'!F106*1000</f>
        <v>2372513.809610995</v>
      </c>
      <c r="F24" s="289">
        <f>'I. Datos de entrada'!G106*1000</f>
        <v>1177759.2430184437</v>
      </c>
      <c r="G24" s="290">
        <f>'I. Datos de entrada'!H106*1000</f>
        <v>12264260.986923134</v>
      </c>
    </row>
    <row r="25" spans="1:16" s="291" customFormat="1" ht="15" customHeight="1" thickBot="1" x14ac:dyDescent="0.25">
      <c r="A25" s="522"/>
      <c r="B25" s="521"/>
      <c r="C25" s="521"/>
      <c r="D25" s="521"/>
      <c r="E25" s="521"/>
      <c r="F25" s="521"/>
      <c r="G25" s="523"/>
    </row>
    <row r="26" spans="1:16" ht="30" customHeight="1" x14ac:dyDescent="0.2">
      <c r="A26" s="611" t="s">
        <v>53</v>
      </c>
      <c r="B26" s="173" t="s">
        <v>137</v>
      </c>
      <c r="C26" s="173"/>
      <c r="D26" s="173"/>
      <c r="E26" s="173"/>
      <c r="F26" s="173"/>
      <c r="G26" s="174"/>
    </row>
    <row r="27" spans="1:16" ht="30" customHeight="1" x14ac:dyDescent="0.2">
      <c r="A27" s="612"/>
      <c r="B27" s="175" t="s">
        <v>15</v>
      </c>
      <c r="C27" s="175" t="s">
        <v>16</v>
      </c>
      <c r="D27" s="175" t="s">
        <v>17</v>
      </c>
      <c r="E27" s="175" t="s">
        <v>18</v>
      </c>
      <c r="F27" s="175" t="s">
        <v>19</v>
      </c>
      <c r="G27" s="176" t="s">
        <v>20</v>
      </c>
    </row>
    <row r="28" spans="1:16" ht="15" customHeight="1" x14ac:dyDescent="0.2">
      <c r="A28" s="179" t="s">
        <v>10</v>
      </c>
      <c r="B28" s="297">
        <f>B12/B20</f>
        <v>0</v>
      </c>
      <c r="C28" s="222">
        <f t="shared" ref="C28:G28" si="0">C12/C20</f>
        <v>0</v>
      </c>
      <c r="D28" s="222">
        <f t="shared" si="0"/>
        <v>0</v>
      </c>
      <c r="E28" s="222">
        <f t="shared" si="0"/>
        <v>0</v>
      </c>
      <c r="F28" s="222">
        <f t="shared" si="0"/>
        <v>0</v>
      </c>
      <c r="G28" s="223">
        <f t="shared" si="0"/>
        <v>0</v>
      </c>
      <c r="I28" s="389"/>
      <c r="J28" s="389"/>
      <c r="K28" s="389"/>
      <c r="L28" s="389"/>
      <c r="M28" s="389"/>
      <c r="N28" s="389"/>
      <c r="O28" s="389"/>
      <c r="P28" s="389"/>
    </row>
    <row r="29" spans="1:16" ht="15" customHeight="1" x14ac:dyDescent="0.2">
      <c r="A29" s="182" t="s">
        <v>11</v>
      </c>
      <c r="B29" s="298">
        <f t="shared" ref="B29:F29" si="1">B13/B21</f>
        <v>8.9149178251467925E-3</v>
      </c>
      <c r="C29" s="298">
        <f t="shared" si="1"/>
        <v>7.3073627151711987E-3</v>
      </c>
      <c r="D29" s="298">
        <f t="shared" si="1"/>
        <v>4.3117373125906421E-3</v>
      </c>
      <c r="E29" s="298">
        <f t="shared" si="1"/>
        <v>2.8190030404167594E-3</v>
      </c>
      <c r="F29" s="525">
        <f t="shared" si="1"/>
        <v>2.8488957522381207E-5</v>
      </c>
      <c r="G29" s="526">
        <f>G13/G21</f>
        <v>1.3635889541769282E-4</v>
      </c>
      <c r="I29" s="389"/>
      <c r="J29" s="389"/>
      <c r="K29" s="389"/>
      <c r="L29" s="389"/>
      <c r="M29" s="389"/>
      <c r="N29" s="389"/>
      <c r="O29" s="389"/>
      <c r="P29" s="389"/>
    </row>
    <row r="30" spans="1:16" ht="15" customHeight="1" x14ac:dyDescent="0.2">
      <c r="A30" s="182" t="s">
        <v>12</v>
      </c>
      <c r="B30" s="298">
        <f t="shared" ref="B30:G30" si="2">B14/B22</f>
        <v>4.3418164064568318E-3</v>
      </c>
      <c r="C30" s="298">
        <f t="shared" si="2"/>
        <v>3.564628538609069E-3</v>
      </c>
      <c r="D30" s="298">
        <f t="shared" si="2"/>
        <v>1.8234353622968314E-3</v>
      </c>
      <c r="E30" s="298">
        <f t="shared" si="2"/>
        <v>1.7551379779600453E-3</v>
      </c>
      <c r="F30" s="525">
        <f t="shared" si="2"/>
        <v>1.571723995607144E-5</v>
      </c>
      <c r="G30" s="526">
        <f t="shared" si="2"/>
        <v>5.1470882618245289E-5</v>
      </c>
      <c r="I30" s="389"/>
      <c r="J30" s="389"/>
      <c r="K30" s="389"/>
      <c r="L30" s="389"/>
      <c r="M30" s="389"/>
      <c r="N30" s="389"/>
      <c r="O30" s="389"/>
      <c r="P30" s="389"/>
    </row>
    <row r="31" spans="1:16" ht="15" customHeight="1" x14ac:dyDescent="0.2">
      <c r="A31" s="182" t="s">
        <v>13</v>
      </c>
      <c r="B31" s="298">
        <f t="shared" ref="B31:G31" si="3">B15/B23</f>
        <v>3.5144372457461886E-3</v>
      </c>
      <c r="C31" s="298">
        <f t="shared" si="3"/>
        <v>3.0048076576182376E-3</v>
      </c>
      <c r="D31" s="298">
        <f t="shared" si="3"/>
        <v>1.8763150129412691E-3</v>
      </c>
      <c r="E31" s="298">
        <f t="shared" si="3"/>
        <v>6.0246261167174679E-4</v>
      </c>
      <c r="F31" s="525">
        <f t="shared" si="3"/>
        <v>1.4253490109682106E-4</v>
      </c>
      <c r="G31" s="526">
        <f t="shared" si="3"/>
        <v>1.3471059087576966E-4</v>
      </c>
      <c r="I31" s="389"/>
      <c r="J31" s="389"/>
      <c r="K31" s="389"/>
      <c r="L31" s="389"/>
      <c r="M31" s="389"/>
      <c r="N31" s="389"/>
      <c r="O31" s="389"/>
      <c r="P31" s="389"/>
    </row>
    <row r="32" spans="1:16" s="291" customFormat="1" ht="15" customHeight="1" thickBot="1" x14ac:dyDescent="0.25">
      <c r="A32" s="288" t="s">
        <v>14</v>
      </c>
      <c r="B32" s="228">
        <f t="shared" ref="B32:G32" si="4">B16/B24</f>
        <v>7.0459188439990399E-3</v>
      </c>
      <c r="C32" s="524">
        <f t="shared" si="4"/>
        <v>5.7425392421501719E-3</v>
      </c>
      <c r="D32" s="524">
        <f t="shared" si="4"/>
        <v>3.0629374453556837E-3</v>
      </c>
      <c r="E32" s="524">
        <f t="shared" si="4"/>
        <v>2.4333086562384849E-3</v>
      </c>
      <c r="F32" s="292">
        <f t="shared" si="4"/>
        <v>6.7283929304316577E-5</v>
      </c>
      <c r="G32" s="293">
        <f t="shared" si="4"/>
        <v>1.6418636086397841E-4</v>
      </c>
      <c r="I32" s="389"/>
      <c r="J32" s="389"/>
      <c r="K32" s="389"/>
      <c r="L32" s="389"/>
      <c r="M32" s="389"/>
      <c r="N32" s="389"/>
      <c r="O32" s="389"/>
      <c r="P32" s="389"/>
    </row>
    <row r="33" spans="1:16" x14ac:dyDescent="0.2">
      <c r="A33" s="177"/>
      <c r="B33" s="178"/>
      <c r="C33" s="178"/>
      <c r="D33" s="178"/>
      <c r="E33" s="178"/>
      <c r="F33" s="178"/>
      <c r="G33" s="178"/>
    </row>
    <row r="34" spans="1:16" ht="33" customHeight="1" thickBot="1" x14ac:dyDescent="0.25">
      <c r="A34" s="622" t="s">
        <v>225</v>
      </c>
      <c r="B34" s="622"/>
      <c r="C34" s="622"/>
      <c r="D34" s="622"/>
      <c r="E34" s="622"/>
      <c r="F34" s="622"/>
      <c r="G34" s="622"/>
    </row>
    <row r="35" spans="1:16" ht="30" customHeight="1" x14ac:dyDescent="0.2">
      <c r="A35" s="611" t="s">
        <v>53</v>
      </c>
      <c r="B35" s="173" t="s">
        <v>226</v>
      </c>
      <c r="C35" s="173"/>
      <c r="D35" s="173"/>
      <c r="E35" s="173"/>
      <c r="F35" s="173"/>
      <c r="G35" s="174"/>
    </row>
    <row r="36" spans="1:16" ht="30" customHeight="1" x14ac:dyDescent="0.2">
      <c r="A36" s="612"/>
      <c r="B36" s="175" t="s">
        <v>15</v>
      </c>
      <c r="C36" s="175" t="s">
        <v>16</v>
      </c>
      <c r="D36" s="175" t="s">
        <v>17</v>
      </c>
      <c r="E36" s="175" t="s">
        <v>18</v>
      </c>
      <c r="F36" s="175" t="s">
        <v>19</v>
      </c>
      <c r="G36" s="176" t="s">
        <v>20</v>
      </c>
    </row>
    <row r="37" spans="1:16" ht="15" customHeight="1" x14ac:dyDescent="0.2">
      <c r="A37" s="179" t="s">
        <v>10</v>
      </c>
      <c r="B37" s="297">
        <f t="shared" ref="B37:G37" si="5">B12/B20</f>
        <v>0</v>
      </c>
      <c r="C37" s="222">
        <f t="shared" si="5"/>
        <v>0</v>
      </c>
      <c r="D37" s="222">
        <f t="shared" si="5"/>
        <v>0</v>
      </c>
      <c r="E37" s="222">
        <f t="shared" si="5"/>
        <v>0</v>
      </c>
      <c r="F37" s="222">
        <f t="shared" si="5"/>
        <v>0</v>
      </c>
      <c r="G37" s="223">
        <f t="shared" si="5"/>
        <v>0</v>
      </c>
      <c r="I37" s="389"/>
      <c r="J37" s="389"/>
      <c r="K37" s="389"/>
      <c r="L37" s="389"/>
      <c r="M37" s="389"/>
      <c r="N37" s="389"/>
      <c r="O37" s="389"/>
      <c r="P37" s="389"/>
    </row>
    <row r="38" spans="1:16" ht="15" customHeight="1" x14ac:dyDescent="0.2">
      <c r="A38" s="182" t="s">
        <v>11</v>
      </c>
      <c r="B38" s="298">
        <f>ROUND(B13/B21,6)</f>
        <v>8.9149999999999993E-3</v>
      </c>
      <c r="C38" s="298">
        <f t="shared" ref="C38:E38" si="6">ROUND(C13/C21,6)</f>
        <v>7.3070000000000001E-3</v>
      </c>
      <c r="D38" s="298">
        <f t="shared" si="6"/>
        <v>4.3119999999999999E-3</v>
      </c>
      <c r="E38" s="298">
        <f t="shared" si="6"/>
        <v>2.8189999999999999E-3</v>
      </c>
      <c r="F38" s="525">
        <f>ROUND(SUM(F13:G13)/SUM(F21:G21),6)</f>
        <v>1.2400000000000001E-4</v>
      </c>
      <c r="G38" s="526">
        <f>F38</f>
        <v>1.2400000000000001E-4</v>
      </c>
      <c r="I38" s="389"/>
      <c r="J38" s="389"/>
      <c r="K38" s="389"/>
      <c r="L38" s="389"/>
      <c r="M38" s="389"/>
      <c r="N38" s="389"/>
      <c r="O38" s="389"/>
      <c r="P38" s="389"/>
    </row>
    <row r="39" spans="1:16" ht="15" customHeight="1" x14ac:dyDescent="0.2">
      <c r="A39" s="182" t="s">
        <v>12</v>
      </c>
      <c r="B39" s="298">
        <f t="shared" ref="B39:E39" si="7">ROUND(B14/B22,6)</f>
        <v>4.3420000000000004E-3</v>
      </c>
      <c r="C39" s="298">
        <f t="shared" si="7"/>
        <v>3.565E-3</v>
      </c>
      <c r="D39" s="298">
        <f t="shared" si="7"/>
        <v>1.823E-3</v>
      </c>
      <c r="E39" s="298">
        <f t="shared" si="7"/>
        <v>1.755E-3</v>
      </c>
      <c r="F39" s="525">
        <f>ROUND(SUM(F14:G14)/SUM(F22:G22),6)</f>
        <v>4.8000000000000001E-5</v>
      </c>
      <c r="G39" s="526">
        <f>F39</f>
        <v>4.8000000000000001E-5</v>
      </c>
      <c r="I39" s="389"/>
      <c r="J39" s="389"/>
      <c r="K39" s="389"/>
      <c r="L39" s="389"/>
      <c r="M39" s="389"/>
      <c r="N39" s="389"/>
      <c r="O39" s="389"/>
      <c r="P39" s="389"/>
    </row>
    <row r="40" spans="1:16" ht="15" customHeight="1" x14ac:dyDescent="0.2">
      <c r="A40" s="182" t="s">
        <v>13</v>
      </c>
      <c r="B40" s="298">
        <f t="shared" ref="B40:E40" si="8">ROUND(B15/B23,6)</f>
        <v>3.5140000000000002E-3</v>
      </c>
      <c r="C40" s="298">
        <f t="shared" si="8"/>
        <v>3.0049999999999999E-3</v>
      </c>
      <c r="D40" s="298">
        <f t="shared" si="8"/>
        <v>1.8760000000000001E-3</v>
      </c>
      <c r="E40" s="298">
        <f t="shared" si="8"/>
        <v>6.02E-4</v>
      </c>
      <c r="F40" s="525">
        <f>ROUND(SUM(F15:G15)/SUM(F23:G23),6)</f>
        <v>1.35E-4</v>
      </c>
      <c r="G40" s="526">
        <f>F40</f>
        <v>1.35E-4</v>
      </c>
      <c r="I40" s="389"/>
      <c r="J40" s="389"/>
      <c r="K40" s="389"/>
      <c r="L40" s="389"/>
      <c r="M40" s="389"/>
      <c r="N40" s="389"/>
      <c r="O40" s="389"/>
      <c r="P40" s="389"/>
    </row>
    <row r="41" spans="1:16" s="291" customFormat="1" ht="15" customHeight="1" thickBot="1" x14ac:dyDescent="0.25">
      <c r="A41" s="288" t="s">
        <v>14</v>
      </c>
      <c r="B41" s="228">
        <f t="shared" ref="B41:E41" si="9">ROUND(B16/B24,6)</f>
        <v>7.0460000000000002E-3</v>
      </c>
      <c r="C41" s="524">
        <f t="shared" si="9"/>
        <v>5.7429999999999998E-3</v>
      </c>
      <c r="D41" s="524">
        <f t="shared" si="9"/>
        <v>3.0630000000000002E-3</v>
      </c>
      <c r="E41" s="524">
        <f t="shared" si="9"/>
        <v>2.4329999999999998E-3</v>
      </c>
      <c r="F41" s="292">
        <f>ROUND(SUM(F16:G16)/SUM(F24:G24),6)</f>
        <v>1.56E-4</v>
      </c>
      <c r="G41" s="293">
        <f>F41</f>
        <v>1.56E-4</v>
      </c>
      <c r="I41" s="389"/>
      <c r="J41" s="389"/>
      <c r="K41" s="389"/>
      <c r="L41" s="389"/>
      <c r="M41" s="389"/>
      <c r="N41" s="389"/>
      <c r="O41" s="389"/>
      <c r="P41" s="389"/>
    </row>
    <row r="43" spans="1:16" x14ac:dyDescent="0.2">
      <c r="B43" s="230"/>
      <c r="C43" s="204"/>
      <c r="D43" s="79"/>
    </row>
  </sheetData>
  <mergeCells count="6">
    <mergeCell ref="A10:A11"/>
    <mergeCell ref="A18:A19"/>
    <mergeCell ref="A35:A36"/>
    <mergeCell ref="A6:G6"/>
    <mergeCell ref="A26:A27"/>
    <mergeCell ref="A34:G34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A8E6A-DE82-4A94-8200-EF11E37FBBFF}">
  <dimension ref="A1:U75"/>
  <sheetViews>
    <sheetView showGridLines="0" workbookViewId="0">
      <selection activeCell="I72" sqref="I72"/>
    </sheetView>
  </sheetViews>
  <sheetFormatPr baseColWidth="10" defaultRowHeight="12.75" x14ac:dyDescent="0.2"/>
  <cols>
    <col min="1" max="1" width="12.7109375" bestFit="1" customWidth="1"/>
    <col min="2" max="2" width="14.85546875" customWidth="1"/>
    <col min="3" max="3" width="14.5703125" customWidth="1"/>
    <col min="4" max="13" width="15.140625" bestFit="1" customWidth="1"/>
  </cols>
  <sheetData>
    <row r="1" spans="1:13" s="1" customFormat="1" x14ac:dyDescent="0.2"/>
    <row r="2" spans="1:13" s="1" customFormat="1" x14ac:dyDescent="0.2"/>
    <row r="3" spans="1:13" s="1" customFormat="1" x14ac:dyDescent="0.2"/>
    <row r="4" spans="1:13" s="1" customFormat="1" x14ac:dyDescent="0.2"/>
    <row r="5" spans="1:13" s="1" customFormat="1" x14ac:dyDescent="0.2"/>
    <row r="6" spans="1:13" s="386" customFormat="1" ht="30" customHeight="1" x14ac:dyDescent="0.2">
      <c r="A6" s="386" t="s">
        <v>194</v>
      </c>
    </row>
    <row r="8" spans="1:13" s="396" customFormat="1" ht="15.75" x14ac:dyDescent="0.25">
      <c r="A8" s="409" t="s">
        <v>162</v>
      </c>
      <c r="B8" s="410"/>
      <c r="C8" s="410"/>
      <c r="D8" s="410"/>
      <c r="E8" s="410"/>
      <c r="F8" s="410"/>
      <c r="G8" s="410"/>
      <c r="H8" s="410"/>
      <c r="I8" s="410"/>
      <c r="J8" s="410"/>
      <c r="K8" s="410"/>
      <c r="L8" s="410"/>
      <c r="M8" s="410"/>
    </row>
    <row r="9" spans="1:13" ht="13.5" thickBot="1" x14ac:dyDescent="0.25"/>
    <row r="10" spans="1:13" ht="13.5" thickBot="1" x14ac:dyDescent="0.25">
      <c r="A10" s="467" t="s">
        <v>166</v>
      </c>
      <c r="B10" s="1"/>
      <c r="C10" s="1"/>
    </row>
    <row r="11" spans="1:13" ht="18" customHeight="1" x14ac:dyDescent="0.2">
      <c r="A11" s="468" t="s">
        <v>163</v>
      </c>
      <c r="B11" s="469"/>
      <c r="C11" s="470">
        <v>50</v>
      </c>
    </row>
    <row r="12" spans="1:13" ht="18" customHeight="1" x14ac:dyDescent="0.2">
      <c r="A12" s="471" t="s">
        <v>164</v>
      </c>
      <c r="B12" s="472"/>
      <c r="C12" s="473">
        <v>28.799969999999998</v>
      </c>
    </row>
    <row r="13" spans="1:13" ht="18" customHeight="1" x14ac:dyDescent="0.2">
      <c r="A13" s="471" t="s">
        <v>165</v>
      </c>
      <c r="B13" s="472"/>
      <c r="C13" s="473">
        <f>C11*C12/60</f>
        <v>23.999974999999999</v>
      </c>
    </row>
    <row r="14" spans="1:13" ht="18" customHeight="1" x14ac:dyDescent="0.2">
      <c r="A14" s="471" t="s">
        <v>167</v>
      </c>
      <c r="B14" s="472"/>
      <c r="C14" s="474">
        <v>0.1</v>
      </c>
    </row>
    <row r="15" spans="1:13" ht="18" customHeight="1" thickBot="1" x14ac:dyDescent="0.25">
      <c r="A15" s="475" t="s">
        <v>168</v>
      </c>
      <c r="B15" s="476"/>
      <c r="C15" s="477">
        <f>C11*8760*C14</f>
        <v>43800</v>
      </c>
    </row>
    <row r="16" spans="1:13" ht="13.5" thickBot="1" x14ac:dyDescent="0.25">
      <c r="A16" s="372"/>
      <c r="D16" s="373"/>
    </row>
    <row r="17" spans="1:21" s="325" customFormat="1" ht="24.95" customHeight="1" x14ac:dyDescent="0.2">
      <c r="A17" s="617" t="s">
        <v>142</v>
      </c>
      <c r="B17" s="173" t="s">
        <v>171</v>
      </c>
      <c r="C17" s="173"/>
      <c r="D17" s="173"/>
      <c r="E17" s="173"/>
      <c r="F17" s="173"/>
      <c r="G17" s="173"/>
      <c r="H17" s="326" t="s">
        <v>172</v>
      </c>
      <c r="I17" s="326"/>
      <c r="J17" s="374"/>
      <c r="K17" s="374"/>
      <c r="L17" s="374"/>
      <c r="M17" s="327"/>
    </row>
    <row r="18" spans="1:21" s="325" customFormat="1" ht="24.95" customHeight="1" x14ac:dyDescent="0.2">
      <c r="A18" s="618"/>
      <c r="B18" s="175" t="s">
        <v>15</v>
      </c>
      <c r="C18" s="175" t="s">
        <v>16</v>
      </c>
      <c r="D18" s="175" t="s">
        <v>17</v>
      </c>
      <c r="E18" s="175" t="s">
        <v>18</v>
      </c>
      <c r="F18" s="175" t="s">
        <v>19</v>
      </c>
      <c r="G18" s="175" t="s">
        <v>20</v>
      </c>
      <c r="H18" s="175" t="s">
        <v>15</v>
      </c>
      <c r="I18" s="175" t="s">
        <v>16</v>
      </c>
      <c r="J18" s="175" t="s">
        <v>17</v>
      </c>
      <c r="K18" s="175" t="s">
        <v>18</v>
      </c>
      <c r="L18" s="175" t="s">
        <v>19</v>
      </c>
      <c r="M18" s="176" t="s">
        <v>20</v>
      </c>
    </row>
    <row r="19" spans="1:21" s="325" customFormat="1" ht="30" customHeight="1" x14ac:dyDescent="0.2">
      <c r="A19" s="364" t="s">
        <v>2</v>
      </c>
      <c r="B19" s="368">
        <f>'Va. Peajes transporte'!B80</f>
        <v>1.504138333370671</v>
      </c>
      <c r="C19" s="368">
        <f>'Va. Peajes transporte'!C80</f>
        <v>1.2713164474525085</v>
      </c>
      <c r="D19" s="368">
        <f>'Va. Peajes transporte'!D80</f>
        <v>0.56358609890673295</v>
      </c>
      <c r="E19" s="368">
        <f>'Va. Peajes transporte'!E80</f>
        <v>0.4440907576358239</v>
      </c>
      <c r="F19" s="368">
        <f>'Va. Peajes transporte'!F80</f>
        <v>7.9027084684703555E-2</v>
      </c>
      <c r="G19" s="368">
        <f>'Va. Peajes transporte'!G80</f>
        <v>7.9027084684703555E-2</v>
      </c>
      <c r="H19" s="563">
        <f>'Va. Peajes transporte'!I80</f>
        <v>4.7463389672522307E-3</v>
      </c>
      <c r="I19" s="563">
        <f>'Va. Peajes transporte'!J80</f>
        <v>3.8744089150882927E-3</v>
      </c>
      <c r="J19" s="563">
        <f>'Va. Peajes transporte'!K80</f>
        <v>2.0709185844467125E-3</v>
      </c>
      <c r="K19" s="563">
        <f>'Va. Peajes transporte'!L80</f>
        <v>1.3969554770983303E-3</v>
      </c>
      <c r="L19" s="563">
        <f>'Va. Peajes transporte'!M80</f>
        <v>1.0444706105508479E-4</v>
      </c>
      <c r="M19" s="564">
        <f>'Va. Peajes transporte'!N80</f>
        <v>1.0444706105508479E-4</v>
      </c>
      <c r="O19" s="335"/>
      <c r="P19" s="334"/>
      <c r="Q19" s="334"/>
      <c r="R19" s="334"/>
      <c r="S19" s="334"/>
      <c r="T19" s="334"/>
      <c r="U19" s="328"/>
    </row>
    <row r="20" spans="1:21" s="325" customFormat="1" ht="30" customHeight="1" x14ac:dyDescent="0.2">
      <c r="A20" s="375" t="s">
        <v>146</v>
      </c>
      <c r="B20" s="376">
        <f>'Vb. Peajes distribución'!B80</f>
        <v>8.9897818425190721</v>
      </c>
      <c r="C20" s="376">
        <f>'Vb. Peajes distribución'!C80</f>
        <v>7.8811759829516896</v>
      </c>
      <c r="D20" s="376">
        <f>'Vb. Peajes distribución'!D80</f>
        <v>3.1249261001927149</v>
      </c>
      <c r="E20" s="376">
        <f>'Vb. Peajes distribución'!E80</f>
        <v>2.3586481613388783</v>
      </c>
      <c r="F20" s="376">
        <f>'Vb. Peajes distribución'!F80</f>
        <v>1.0438061548829562</v>
      </c>
      <c r="G20" s="376">
        <f>'Vb. Peajes distribución'!G80</f>
        <v>1.0438061548829562</v>
      </c>
      <c r="H20" s="565">
        <f>'Vb. Peajes distribución'!I80</f>
        <v>1.3006003826057285E-2</v>
      </c>
      <c r="I20" s="565">
        <f>'Vb. Peajes distribución'!J80</f>
        <v>1.0692611397790019E-2</v>
      </c>
      <c r="J20" s="565">
        <f>'Vb. Peajes distribución'!K80</f>
        <v>5.883950063413813E-3</v>
      </c>
      <c r="K20" s="565">
        <f>'Vb. Peajes distribución'!L80</f>
        <v>3.9641322342118179E-3</v>
      </c>
      <c r="L20" s="565">
        <f>'Vb. Peajes distribución'!M80</f>
        <v>2.1671749776650911E-4</v>
      </c>
      <c r="M20" s="566">
        <f>'Vb. Peajes distribución'!N80</f>
        <v>2.1671749776650911E-4</v>
      </c>
      <c r="O20" s="335"/>
      <c r="P20" s="334"/>
      <c r="Q20" s="334"/>
      <c r="R20" s="334"/>
      <c r="S20" s="334"/>
      <c r="T20" s="334"/>
      <c r="U20" s="328"/>
    </row>
    <row r="21" spans="1:21" s="325" customFormat="1" ht="30" customHeight="1" thickBot="1" x14ac:dyDescent="0.25">
      <c r="A21" s="390" t="s">
        <v>150</v>
      </c>
      <c r="B21" s="391">
        <f>SUM(B19:B20)</f>
        <v>10.493920175889743</v>
      </c>
      <c r="C21" s="391">
        <f>SUM(C19:C20)</f>
        <v>9.1524924304041981</v>
      </c>
      <c r="D21" s="391">
        <f t="shared" ref="D21:G21" si="0">SUM(D19:D20)</f>
        <v>3.6885121990994478</v>
      </c>
      <c r="E21" s="391">
        <f t="shared" si="0"/>
        <v>2.8027389189747023</v>
      </c>
      <c r="F21" s="391">
        <f t="shared" si="0"/>
        <v>1.1228332395676599</v>
      </c>
      <c r="G21" s="391">
        <f t="shared" si="0"/>
        <v>1.1228332395676599</v>
      </c>
      <c r="H21" s="567">
        <f>SUM(H19:H20)</f>
        <v>1.7752342793309516E-2</v>
      </c>
      <c r="I21" s="567">
        <f t="shared" ref="I21" si="1">SUM(I19:I20)</f>
        <v>1.4567020312878312E-2</v>
      </c>
      <c r="J21" s="567">
        <f t="shared" ref="J21" si="2">SUM(J19:J20)</f>
        <v>7.954868647860526E-3</v>
      </c>
      <c r="K21" s="567">
        <f t="shared" ref="K21" si="3">SUM(K19:K20)</f>
        <v>5.3610877113101484E-3</v>
      </c>
      <c r="L21" s="567">
        <f t="shared" ref="L21" si="4">SUM(L19:L20)</f>
        <v>3.211645588215939E-4</v>
      </c>
      <c r="M21" s="568">
        <f t="shared" ref="M21" si="5">SUM(M19:M20)</f>
        <v>3.211645588215939E-4</v>
      </c>
      <c r="O21" s="335"/>
      <c r="P21" s="334"/>
      <c r="Q21" s="334"/>
      <c r="R21" s="334"/>
      <c r="S21" s="334"/>
      <c r="T21" s="334"/>
      <c r="U21" s="328"/>
    </row>
    <row r="22" spans="1:21" ht="13.5" thickBot="1" x14ac:dyDescent="0.25">
      <c r="A22" s="371"/>
      <c r="B22" s="389"/>
      <c r="C22" s="389"/>
      <c r="D22" s="389"/>
      <c r="E22" s="389"/>
      <c r="F22" s="389"/>
      <c r="G22" s="389"/>
      <c r="H22" s="389"/>
      <c r="I22" s="389"/>
      <c r="J22" s="389"/>
      <c r="K22" s="389"/>
      <c r="L22" s="389"/>
      <c r="M22" s="389"/>
    </row>
    <row r="23" spans="1:21" s="325" customFormat="1" ht="23.25" customHeight="1" x14ac:dyDescent="0.2">
      <c r="A23" s="617" t="s">
        <v>142</v>
      </c>
      <c r="B23" s="173" t="s">
        <v>169</v>
      </c>
      <c r="C23" s="173"/>
      <c r="D23" s="173"/>
      <c r="E23" s="613" t="s">
        <v>124</v>
      </c>
    </row>
    <row r="24" spans="1:21" s="325" customFormat="1" ht="38.25" x14ac:dyDescent="0.2">
      <c r="A24" s="618"/>
      <c r="B24" s="253" t="s">
        <v>173</v>
      </c>
      <c r="C24" s="253" t="s">
        <v>174</v>
      </c>
      <c r="D24" s="253" t="s">
        <v>175</v>
      </c>
      <c r="E24" s="614"/>
    </row>
    <row r="25" spans="1:21" ht="18" customHeight="1" x14ac:dyDescent="0.2">
      <c r="A25" s="366" t="s">
        <v>152</v>
      </c>
      <c r="B25" s="369">
        <f>$C$11*SUM(B19:G19)</f>
        <v>197.05929033675719</v>
      </c>
      <c r="C25" s="369">
        <f>$C$15*AVERAGE(H19:M19)</f>
        <v>89.771867281768877</v>
      </c>
      <c r="D25" s="369">
        <f>SUM(B25:C25)</f>
        <v>286.83115761852605</v>
      </c>
      <c r="E25" s="480">
        <f t="shared" ref="E25" si="6">B25/D25</f>
        <v>0.68702191202964824</v>
      </c>
      <c r="F25" s="252"/>
      <c r="G25" s="252"/>
      <c r="I25" s="252"/>
      <c r="J25" s="252"/>
      <c r="K25" s="252"/>
      <c r="L25" s="252"/>
    </row>
    <row r="26" spans="1:21" ht="18" customHeight="1" x14ac:dyDescent="0.2">
      <c r="A26" s="377" t="s">
        <v>153</v>
      </c>
      <c r="B26" s="481">
        <f>$C$11*SUM(B20:G20)</f>
        <v>1222.1072198384136</v>
      </c>
      <c r="C26" s="481">
        <f>$C$15*AVERAGE(H20:M20)</f>
        <v>248.05496737414342</v>
      </c>
      <c r="D26" s="481">
        <f>SUM(B26:C26)</f>
        <v>1470.162187212557</v>
      </c>
      <c r="E26" s="482">
        <f>B26/D26</f>
        <v>0.83127374004601606</v>
      </c>
      <c r="F26" s="252"/>
      <c r="G26" s="252"/>
      <c r="I26" s="252"/>
      <c r="J26" s="252"/>
      <c r="K26" s="252"/>
      <c r="L26" s="252"/>
    </row>
    <row r="27" spans="1:21" ht="18" customHeight="1" thickBot="1" x14ac:dyDescent="0.25">
      <c r="A27" s="400" t="s">
        <v>4</v>
      </c>
      <c r="B27" s="483">
        <f>SUM(B25:B26)</f>
        <v>1419.1665101751707</v>
      </c>
      <c r="C27" s="483">
        <f t="shared" ref="C27:D27" si="7">SUM(C25:C26)</f>
        <v>337.82683465591231</v>
      </c>
      <c r="D27" s="483">
        <f t="shared" si="7"/>
        <v>1756.993344831083</v>
      </c>
      <c r="E27" s="484">
        <f>B27/D27</f>
        <v>0.80772446540576348</v>
      </c>
      <c r="F27" s="252"/>
      <c r="G27" s="252"/>
    </row>
    <row r="28" spans="1:21" s="325" customFormat="1" x14ac:dyDescent="0.2"/>
    <row r="29" spans="1:21" s="325" customFormat="1" ht="13.5" thickBot="1" x14ac:dyDescent="0.25"/>
    <row r="30" spans="1:21" s="325" customFormat="1" ht="36.75" customHeight="1" x14ac:dyDescent="0.2">
      <c r="A30" s="617" t="s">
        <v>142</v>
      </c>
      <c r="B30" s="173" t="s">
        <v>170</v>
      </c>
      <c r="C30" s="174"/>
    </row>
    <row r="31" spans="1:21" s="325" customFormat="1" ht="51" x14ac:dyDescent="0.2">
      <c r="A31" s="618"/>
      <c r="B31" s="253" t="s">
        <v>176</v>
      </c>
      <c r="C31" s="324" t="s">
        <v>177</v>
      </c>
    </row>
    <row r="32" spans="1:21" ht="18" customHeight="1" x14ac:dyDescent="0.2">
      <c r="A32" s="366" t="s">
        <v>152</v>
      </c>
      <c r="B32" s="485">
        <f>D25*20%/B25</f>
        <v>0.29111153006626234</v>
      </c>
      <c r="C32" s="486">
        <f>D25*80%/C25</f>
        <v>2.5560894859699683</v>
      </c>
      <c r="D32" s="325"/>
      <c r="E32" s="325"/>
      <c r="F32" s="252"/>
      <c r="G32" s="252"/>
      <c r="I32" s="252"/>
      <c r="J32" s="252"/>
      <c r="K32" s="252"/>
      <c r="L32" s="252"/>
    </row>
    <row r="33" spans="1:21" ht="18" customHeight="1" thickBot="1" x14ac:dyDescent="0.25">
      <c r="A33" s="367" t="s">
        <v>153</v>
      </c>
      <c r="B33" s="487">
        <f>D26*20%/B26</f>
        <v>0.24059463250809388</v>
      </c>
      <c r="C33" s="488">
        <f>D26*80%/C26</f>
        <v>4.7414077703031001</v>
      </c>
      <c r="D33" s="325"/>
      <c r="E33" s="325"/>
      <c r="F33" s="252"/>
      <c r="G33" s="252"/>
      <c r="I33" s="252"/>
      <c r="J33" s="252"/>
      <c r="K33" s="252"/>
      <c r="L33" s="252"/>
    </row>
    <row r="34" spans="1:21" s="325" customFormat="1" ht="13.5" thickBot="1" x14ac:dyDescent="0.25"/>
    <row r="35" spans="1:21" s="325" customFormat="1" ht="24.95" customHeight="1" x14ac:dyDescent="0.2">
      <c r="A35" s="617" t="s">
        <v>142</v>
      </c>
      <c r="B35" s="173" t="s">
        <v>178</v>
      </c>
      <c r="C35" s="173"/>
      <c r="D35" s="173"/>
      <c r="E35" s="173"/>
      <c r="F35" s="173"/>
      <c r="G35" s="173"/>
      <c r="H35" s="326" t="s">
        <v>179</v>
      </c>
      <c r="I35" s="326"/>
      <c r="J35" s="374"/>
      <c r="K35" s="374"/>
      <c r="L35" s="374"/>
      <c r="M35" s="327"/>
    </row>
    <row r="36" spans="1:21" s="325" customFormat="1" ht="24.95" customHeight="1" x14ac:dyDescent="0.2">
      <c r="A36" s="618"/>
      <c r="B36" s="175" t="s">
        <v>15</v>
      </c>
      <c r="C36" s="175" t="s">
        <v>16</v>
      </c>
      <c r="D36" s="175" t="s">
        <v>17</v>
      </c>
      <c r="E36" s="175" t="s">
        <v>18</v>
      </c>
      <c r="F36" s="175" t="s">
        <v>19</v>
      </c>
      <c r="G36" s="175" t="s">
        <v>20</v>
      </c>
      <c r="H36" s="175" t="s">
        <v>15</v>
      </c>
      <c r="I36" s="175" t="s">
        <v>16</v>
      </c>
      <c r="J36" s="175" t="s">
        <v>17</v>
      </c>
      <c r="K36" s="175" t="s">
        <v>18</v>
      </c>
      <c r="L36" s="175" t="s">
        <v>19</v>
      </c>
      <c r="M36" s="176" t="s">
        <v>20</v>
      </c>
    </row>
    <row r="37" spans="1:21" s="325" customFormat="1" ht="30" customHeight="1" x14ac:dyDescent="0.2">
      <c r="A37" s="364" t="s">
        <v>2</v>
      </c>
      <c r="B37" s="527">
        <f>$B$32*B19</f>
        <v>0.43787201165885381</v>
      </c>
      <c r="C37" s="527">
        <f t="shared" ref="C37:G37" si="8">$B$32*C19</f>
        <v>0.37009487621630477</v>
      </c>
      <c r="D37" s="527">
        <f t="shared" si="8"/>
        <v>0.1640664115768149</v>
      </c>
      <c r="E37" s="527">
        <f t="shared" si="8"/>
        <v>0.12927993994365036</v>
      </c>
      <c r="F37" s="527">
        <f t="shared" si="8"/>
        <v>2.3005695539240138E-2</v>
      </c>
      <c r="G37" s="527">
        <f t="shared" si="8"/>
        <v>2.3005695539240138E-2</v>
      </c>
      <c r="H37" s="508">
        <f>$C$32*H19</f>
        <v>1.2132067131042985E-2</v>
      </c>
      <c r="I37" s="508">
        <f t="shared" ref="I37:M37" si="9">$C$32*I19</f>
        <v>9.9033358922054962E-3</v>
      </c>
      <c r="J37" s="508">
        <f t="shared" si="9"/>
        <v>5.2934532200040515E-3</v>
      </c>
      <c r="K37" s="508">
        <f t="shared" si="9"/>
        <v>3.5707432073792031E-3</v>
      </c>
      <c r="L37" s="508">
        <f t="shared" si="9"/>
        <v>2.6697603460336557E-4</v>
      </c>
      <c r="M37" s="508">
        <f t="shared" si="9"/>
        <v>2.6697603460336557E-4</v>
      </c>
      <c r="O37" s="335"/>
      <c r="P37" s="334"/>
      <c r="Q37" s="334"/>
      <c r="R37" s="334"/>
      <c r="S37" s="334"/>
      <c r="T37" s="334"/>
      <c r="U37" s="328"/>
    </row>
    <row r="38" spans="1:21" s="325" customFormat="1" ht="30" customHeight="1" x14ac:dyDescent="0.2">
      <c r="A38" s="375" t="s">
        <v>146</v>
      </c>
      <c r="B38" s="528">
        <f>B20*$B$33</f>
        <v>2.1628932587288112</v>
      </c>
      <c r="C38" s="528">
        <f t="shared" ref="C38:G38" si="10">C20*$B$33</f>
        <v>1.8961686393498773</v>
      </c>
      <c r="D38" s="528">
        <f t="shared" si="10"/>
        <v>0.75184044669081718</v>
      </c>
      <c r="E38" s="528">
        <f t="shared" si="10"/>
        <v>0.56747808759321872</v>
      </c>
      <c r="F38" s="528">
        <f t="shared" si="10"/>
        <v>0.25113415824375135</v>
      </c>
      <c r="G38" s="528">
        <f t="shared" si="10"/>
        <v>0.25113415824375135</v>
      </c>
      <c r="H38" s="512">
        <f>$C$33*H20</f>
        <v>6.1666767601459865E-2</v>
      </c>
      <c r="I38" s="512">
        <f t="shared" ref="I38:M38" si="11">$C$33*I20</f>
        <v>5.0698030766313087E-2</v>
      </c>
      <c r="J38" s="512">
        <f t="shared" si="11"/>
        <v>2.7898206550745673E-2</v>
      </c>
      <c r="K38" s="512">
        <f t="shared" si="11"/>
        <v>1.8795567377800901E-2</v>
      </c>
      <c r="L38" s="512">
        <f t="shared" si="11"/>
        <v>1.0275460278707711E-3</v>
      </c>
      <c r="M38" s="512">
        <f t="shared" si="11"/>
        <v>1.0275460278707711E-3</v>
      </c>
      <c r="O38" s="335"/>
      <c r="P38" s="334"/>
      <c r="Q38" s="334"/>
      <c r="R38" s="334"/>
      <c r="S38" s="334"/>
      <c r="T38" s="334"/>
      <c r="U38" s="328"/>
    </row>
    <row r="39" spans="1:21" s="325" customFormat="1" ht="30" customHeight="1" thickBot="1" x14ac:dyDescent="0.25">
      <c r="A39" s="390" t="s">
        <v>150</v>
      </c>
      <c r="B39" s="529">
        <f>SUM(B37:B38)</f>
        <v>2.6007652703876651</v>
      </c>
      <c r="C39" s="529">
        <f>SUM(C37:C38)</f>
        <v>2.2662635155661821</v>
      </c>
      <c r="D39" s="529">
        <f t="shared" ref="D39" si="12">SUM(D37:D38)</f>
        <v>0.91590685826763207</v>
      </c>
      <c r="E39" s="529">
        <f t="shared" ref="E39" si="13">SUM(E37:E38)</f>
        <v>0.69675802753686911</v>
      </c>
      <c r="F39" s="529">
        <f t="shared" ref="F39" si="14">SUM(F37:F38)</f>
        <v>0.27413985378299149</v>
      </c>
      <c r="G39" s="529">
        <f t="shared" ref="G39" si="15">SUM(G37:G38)</f>
        <v>0.27413985378299149</v>
      </c>
      <c r="H39" s="510">
        <f>SUM(H37:H38)</f>
        <v>7.3798834732502844E-2</v>
      </c>
      <c r="I39" s="510">
        <f t="shared" ref="I39:M39" si="16">SUM(I37:I38)</f>
        <v>6.0601366658518584E-2</v>
      </c>
      <c r="J39" s="510">
        <f t="shared" si="16"/>
        <v>3.3191659770749726E-2</v>
      </c>
      <c r="K39" s="510">
        <f t="shared" si="16"/>
        <v>2.2366310585180103E-2</v>
      </c>
      <c r="L39" s="510">
        <f t="shared" si="16"/>
        <v>1.2945220624741367E-3</v>
      </c>
      <c r="M39" s="511">
        <f t="shared" si="16"/>
        <v>1.2945220624741367E-3</v>
      </c>
      <c r="O39" s="335"/>
      <c r="P39" s="335"/>
      <c r="Q39" s="334"/>
      <c r="R39" s="334"/>
      <c r="S39" s="334"/>
      <c r="T39" s="334"/>
      <c r="U39" s="328"/>
    </row>
    <row r="40" spans="1:21" s="325" customFormat="1" x14ac:dyDescent="0.2">
      <c r="B40" s="569"/>
    </row>
    <row r="41" spans="1:21" s="325" customFormat="1" x14ac:dyDescent="0.2"/>
    <row r="42" spans="1:21" s="396" customFormat="1" ht="15.75" x14ac:dyDescent="0.25">
      <c r="A42" s="409" t="s">
        <v>180</v>
      </c>
      <c r="B42" s="410"/>
      <c r="C42" s="410"/>
      <c r="D42" s="410"/>
      <c r="E42" s="410"/>
      <c r="F42" s="410"/>
      <c r="G42" s="410"/>
      <c r="H42" s="410"/>
      <c r="I42" s="410"/>
      <c r="J42" s="410"/>
      <c r="K42" s="410"/>
      <c r="L42" s="410"/>
      <c r="M42" s="410"/>
    </row>
    <row r="43" spans="1:21" ht="13.5" thickBot="1" x14ac:dyDescent="0.25"/>
    <row r="44" spans="1:21" ht="13.5" thickBot="1" x14ac:dyDescent="0.25">
      <c r="A44" s="467" t="s">
        <v>166</v>
      </c>
      <c r="B44" s="1"/>
      <c r="C44" s="1"/>
    </row>
    <row r="45" spans="1:21" ht="18" customHeight="1" x14ac:dyDescent="0.2">
      <c r="A45" s="468" t="s">
        <v>163</v>
      </c>
      <c r="B45" s="469"/>
      <c r="C45" s="470">
        <v>150</v>
      </c>
    </row>
    <row r="46" spans="1:21" ht="18" customHeight="1" x14ac:dyDescent="0.2">
      <c r="A46" s="471" t="s">
        <v>164</v>
      </c>
      <c r="B46" s="472"/>
      <c r="C46" s="473">
        <v>28.799969999999998</v>
      </c>
    </row>
    <row r="47" spans="1:21" ht="18" customHeight="1" x14ac:dyDescent="0.2">
      <c r="A47" s="471" t="s">
        <v>165</v>
      </c>
      <c r="B47" s="472"/>
      <c r="C47" s="473">
        <f>C45*C46/60</f>
        <v>71.999925000000005</v>
      </c>
    </row>
    <row r="48" spans="1:21" ht="18" customHeight="1" x14ac:dyDescent="0.2">
      <c r="A48" s="471" t="s">
        <v>167</v>
      </c>
      <c r="B48" s="472"/>
      <c r="C48" s="474">
        <v>0.1</v>
      </c>
    </row>
    <row r="49" spans="1:21" ht="18" customHeight="1" thickBot="1" x14ac:dyDescent="0.25">
      <c r="A49" s="475" t="s">
        <v>168</v>
      </c>
      <c r="B49" s="476"/>
      <c r="C49" s="477">
        <f>C45*8760*C48</f>
        <v>131400</v>
      </c>
    </row>
    <row r="50" spans="1:21" ht="13.5" thickBot="1" x14ac:dyDescent="0.25">
      <c r="A50" s="372"/>
      <c r="D50" s="373"/>
    </row>
    <row r="51" spans="1:21" s="325" customFormat="1" ht="24.95" customHeight="1" x14ac:dyDescent="0.2">
      <c r="A51" s="617" t="s">
        <v>142</v>
      </c>
      <c r="B51" s="173" t="s">
        <v>181</v>
      </c>
      <c r="C51" s="173"/>
      <c r="D51" s="173"/>
      <c r="E51" s="173"/>
      <c r="F51" s="173"/>
      <c r="G51" s="173"/>
      <c r="H51" s="326" t="s">
        <v>182</v>
      </c>
      <c r="I51" s="326"/>
      <c r="J51" s="374"/>
      <c r="K51" s="374"/>
      <c r="L51" s="374"/>
      <c r="M51" s="327"/>
    </row>
    <row r="52" spans="1:21" s="325" customFormat="1" ht="24.95" customHeight="1" x14ac:dyDescent="0.2">
      <c r="A52" s="618"/>
      <c r="B52" s="175" t="s">
        <v>15</v>
      </c>
      <c r="C52" s="175" t="s">
        <v>16</v>
      </c>
      <c r="D52" s="175" t="s">
        <v>17</v>
      </c>
      <c r="E52" s="175" t="s">
        <v>18</v>
      </c>
      <c r="F52" s="175" t="s">
        <v>19</v>
      </c>
      <c r="G52" s="175" t="s">
        <v>20</v>
      </c>
      <c r="H52" s="175" t="s">
        <v>15</v>
      </c>
      <c r="I52" s="175" t="s">
        <v>16</v>
      </c>
      <c r="J52" s="175" t="s">
        <v>17</v>
      </c>
      <c r="K52" s="175" t="s">
        <v>18</v>
      </c>
      <c r="L52" s="175" t="s">
        <v>19</v>
      </c>
      <c r="M52" s="176" t="s">
        <v>20</v>
      </c>
    </row>
    <row r="53" spans="1:21" s="325" customFormat="1" ht="30" customHeight="1" x14ac:dyDescent="0.2">
      <c r="A53" s="364" t="s">
        <v>2</v>
      </c>
      <c r="B53" s="368">
        <f>'Va. Peajes transporte'!B81</f>
        <v>4.988519298618372</v>
      </c>
      <c r="C53" s="368">
        <f>'Va. Peajes transporte'!C81</f>
        <v>4.988519298618372</v>
      </c>
      <c r="D53" s="368">
        <f>'Va. Peajes transporte'!D81</f>
        <v>2.6754910584691607</v>
      </c>
      <c r="E53" s="368">
        <f>'Va. Peajes transporte'!E81</f>
        <v>2.0614792351480888</v>
      </c>
      <c r="F53" s="368">
        <f>'Va. Peajes transporte'!F81</f>
        <v>0.17093560121465121</v>
      </c>
      <c r="G53" s="368">
        <f>'Va. Peajes transporte'!G81</f>
        <v>0.17093560121465121</v>
      </c>
      <c r="H53" s="563">
        <f>'Va. Peajes transporte'!I81</f>
        <v>4.6421419003394972E-3</v>
      </c>
      <c r="I53" s="563">
        <f>'Va. Peajes transporte'!J81</f>
        <v>3.7889385559602483E-3</v>
      </c>
      <c r="J53" s="563">
        <f>'Va. Peajes transporte'!K81</f>
        <v>2.1149003332894059E-3</v>
      </c>
      <c r="K53" s="563">
        <f>'Va. Peajes transporte'!L81</f>
        <v>1.4143203787274651E-3</v>
      </c>
      <c r="L53" s="563">
        <f>'Va. Peajes transporte'!M81</f>
        <v>1.0255553173859648E-4</v>
      </c>
      <c r="M53" s="564">
        <f>'Va. Peajes transporte'!N81</f>
        <v>1.0255553173859648E-4</v>
      </c>
      <c r="O53" s="335"/>
      <c r="P53" s="334"/>
      <c r="Q53" s="334"/>
      <c r="R53" s="334"/>
      <c r="S53" s="334"/>
      <c r="T53" s="334"/>
      <c r="U53" s="328"/>
    </row>
    <row r="54" spans="1:21" s="325" customFormat="1" ht="30" customHeight="1" x14ac:dyDescent="0.2">
      <c r="A54" s="375" t="s">
        <v>146</v>
      </c>
      <c r="B54" s="376">
        <f>'Vb. Peajes distribución'!B81</f>
        <v>13.332285458938641</v>
      </c>
      <c r="C54" s="376">
        <f>'Vb. Peajes distribución'!C81</f>
        <v>13.332285458938641</v>
      </c>
      <c r="D54" s="376">
        <f>'Vb. Peajes distribución'!D81</f>
        <v>7.3130795438695229</v>
      </c>
      <c r="E54" s="376">
        <f>'Vb. Peajes distribución'!E81</f>
        <v>5.5044101654496895</v>
      </c>
      <c r="F54" s="376">
        <f>'Vb. Peajes distribución'!F81</f>
        <v>0.33161461187566954</v>
      </c>
      <c r="G54" s="376">
        <f>'Vb. Peajes distribución'!G81</f>
        <v>0.33161461187566954</v>
      </c>
      <c r="H54" s="565">
        <f>'Vb. Peajes distribución'!I81</f>
        <v>1.2721579042492067E-2</v>
      </c>
      <c r="I54" s="565">
        <f>'Vb. Peajes distribución'!J81</f>
        <v>1.0457633091733287E-2</v>
      </c>
      <c r="J54" s="565">
        <f>'Vb. Peajes distribución'!K81</f>
        <v>6.0095062045269904E-3</v>
      </c>
      <c r="K54" s="565">
        <f>'Vb. Peajes distribución'!L81</f>
        <v>4.0137384644118547E-3</v>
      </c>
      <c r="L54" s="565">
        <f>'Vb. Peajes distribución'!M81</f>
        <v>2.126242205183826E-4</v>
      </c>
      <c r="M54" s="566">
        <f>'Vb. Peajes distribución'!N81</f>
        <v>2.126242205183826E-4</v>
      </c>
      <c r="O54" s="335"/>
      <c r="P54" s="334"/>
      <c r="Q54" s="334"/>
      <c r="R54" s="334"/>
      <c r="S54" s="334"/>
      <c r="T54" s="334"/>
      <c r="U54" s="328"/>
    </row>
    <row r="55" spans="1:21" s="325" customFormat="1" ht="30" customHeight="1" thickBot="1" x14ac:dyDescent="0.25">
      <c r="A55" s="390" t="s">
        <v>150</v>
      </c>
      <c r="B55" s="391">
        <f>SUM(B53:B54)</f>
        <v>18.320804757557013</v>
      </c>
      <c r="C55" s="391">
        <f>SUM(C53:C54)</f>
        <v>18.320804757557013</v>
      </c>
      <c r="D55" s="391">
        <f t="shared" ref="D55" si="17">SUM(D53:D54)</f>
        <v>9.9885706023386831</v>
      </c>
      <c r="E55" s="391">
        <f t="shared" ref="E55" si="18">SUM(E53:E54)</f>
        <v>7.5658894005977784</v>
      </c>
      <c r="F55" s="391">
        <f t="shared" ref="F55" si="19">SUM(F53:F54)</f>
        <v>0.50255021309032077</v>
      </c>
      <c r="G55" s="391">
        <f t="shared" ref="G55" si="20">SUM(G53:G54)</f>
        <v>0.50255021309032077</v>
      </c>
      <c r="H55" s="510">
        <f>SUM(H53:H54)</f>
        <v>1.7363720942831565E-2</v>
      </c>
      <c r="I55" s="510">
        <f t="shared" ref="I55" si="21">SUM(I53:I54)</f>
        <v>1.4246571647693535E-2</v>
      </c>
      <c r="J55" s="510">
        <f t="shared" ref="J55" si="22">SUM(J53:J54)</f>
        <v>8.1244065378163963E-3</v>
      </c>
      <c r="K55" s="510">
        <f t="shared" ref="K55" si="23">SUM(K53:K54)</f>
        <v>5.42805884313932E-3</v>
      </c>
      <c r="L55" s="510">
        <f t="shared" ref="L55" si="24">SUM(L53:L54)</f>
        <v>3.1517975225697911E-4</v>
      </c>
      <c r="M55" s="511">
        <f t="shared" ref="M55" si="25">SUM(M53:M54)</f>
        <v>3.1517975225697911E-4</v>
      </c>
      <c r="O55" s="335"/>
      <c r="P55" s="334"/>
      <c r="Q55" s="334"/>
      <c r="R55" s="334"/>
      <c r="S55" s="334"/>
      <c r="T55" s="334"/>
      <c r="U55" s="328"/>
    </row>
    <row r="56" spans="1:21" ht="13.5" thickBot="1" x14ac:dyDescent="0.25">
      <c r="A56" s="371"/>
      <c r="B56" s="306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</row>
    <row r="57" spans="1:21" s="325" customFormat="1" ht="23.25" customHeight="1" x14ac:dyDescent="0.2">
      <c r="A57" s="617" t="s">
        <v>142</v>
      </c>
      <c r="B57" s="173" t="s">
        <v>183</v>
      </c>
      <c r="C57" s="173"/>
      <c r="D57" s="173"/>
      <c r="E57" s="613" t="s">
        <v>124</v>
      </c>
    </row>
    <row r="58" spans="1:21" s="325" customFormat="1" ht="38.25" x14ac:dyDescent="0.2">
      <c r="A58" s="618"/>
      <c r="B58" s="253" t="s">
        <v>173</v>
      </c>
      <c r="C58" s="253" t="s">
        <v>174</v>
      </c>
      <c r="D58" s="253" t="s">
        <v>175</v>
      </c>
      <c r="E58" s="614"/>
    </row>
    <row r="59" spans="1:21" ht="18" customHeight="1" x14ac:dyDescent="0.2">
      <c r="A59" s="366" t="s">
        <v>152</v>
      </c>
      <c r="B59" s="369">
        <f>$C$45*SUM(B53:G53)</f>
        <v>2258.3820139924942</v>
      </c>
      <c r="C59" s="369">
        <f>$C$49*AVERAGE(H53:M53)</f>
        <v>266.42252787628439</v>
      </c>
      <c r="D59" s="369">
        <f>SUM(B59:C59)</f>
        <v>2524.8045418687784</v>
      </c>
      <c r="E59" s="480">
        <f t="shared" ref="E59" si="26">B59/D59</f>
        <v>0.89447795920111628</v>
      </c>
      <c r="F59" s="252"/>
      <c r="G59" s="252"/>
      <c r="I59" s="252"/>
      <c r="J59" s="252"/>
      <c r="K59" s="252"/>
      <c r="L59" s="252"/>
    </row>
    <row r="60" spans="1:21" ht="18" customHeight="1" x14ac:dyDescent="0.2">
      <c r="A60" s="377" t="s">
        <v>153</v>
      </c>
      <c r="B60" s="481">
        <f>$C$45*SUM(B54:G54)</f>
        <v>6021.7934776421762</v>
      </c>
      <c r="C60" s="481">
        <f>$C$49*AVERAGE(H54:M54)</f>
        <v>736.44674484800112</v>
      </c>
      <c r="D60" s="481">
        <f>SUM(B60:C60)</f>
        <v>6758.2402224901771</v>
      </c>
      <c r="E60" s="482">
        <f>B60/D60</f>
        <v>0.89102980648760577</v>
      </c>
      <c r="F60" s="252"/>
      <c r="G60" s="252"/>
      <c r="I60" s="252"/>
      <c r="J60" s="252"/>
      <c r="K60" s="252"/>
      <c r="L60" s="252"/>
    </row>
    <row r="61" spans="1:21" ht="18" customHeight="1" thickBot="1" x14ac:dyDescent="0.25">
      <c r="A61" s="400" t="s">
        <v>4</v>
      </c>
      <c r="B61" s="483">
        <f>SUM(B59:B60)</f>
        <v>8280.1754916346708</v>
      </c>
      <c r="C61" s="483">
        <f t="shared" ref="C61" si="27">SUM(C59:C60)</f>
        <v>1002.8692727242856</v>
      </c>
      <c r="D61" s="483">
        <f t="shared" ref="D61" si="28">SUM(D59:D60)</f>
        <v>9283.0447643589559</v>
      </c>
      <c r="E61" s="484">
        <f>B61/D61</f>
        <v>0.89196763581549543</v>
      </c>
      <c r="F61" s="252"/>
      <c r="G61" s="252"/>
    </row>
    <row r="62" spans="1:21" s="325" customFormat="1" x14ac:dyDescent="0.2"/>
    <row r="63" spans="1:21" s="325" customFormat="1" ht="13.5" thickBot="1" x14ac:dyDescent="0.25"/>
    <row r="64" spans="1:21" s="325" customFormat="1" ht="36.75" customHeight="1" x14ac:dyDescent="0.2">
      <c r="A64" s="617" t="s">
        <v>142</v>
      </c>
      <c r="B64" s="173" t="s">
        <v>218</v>
      </c>
      <c r="C64" s="174"/>
    </row>
    <row r="65" spans="1:21" s="325" customFormat="1" ht="51" x14ac:dyDescent="0.2">
      <c r="A65" s="618"/>
      <c r="B65" s="253" t="s">
        <v>176</v>
      </c>
      <c r="C65" s="324" t="s">
        <v>177</v>
      </c>
    </row>
    <row r="66" spans="1:21" ht="18" customHeight="1" x14ac:dyDescent="0.2">
      <c r="A66" s="366" t="s">
        <v>152</v>
      </c>
      <c r="B66" s="485">
        <f>D59*20%/B59</f>
        <v>0.22359410642004607</v>
      </c>
      <c r="C66" s="486">
        <f>D59*80%/C59</f>
        <v>7.5813545108053129</v>
      </c>
      <c r="D66" s="325"/>
      <c r="E66" s="325"/>
      <c r="F66" s="252"/>
      <c r="G66" s="252"/>
      <c r="I66" s="252"/>
      <c r="J66" s="252"/>
      <c r="K66" s="252"/>
      <c r="L66" s="252"/>
    </row>
    <row r="67" spans="1:21" ht="18" customHeight="1" thickBot="1" x14ac:dyDescent="0.25">
      <c r="A67" s="367" t="s">
        <v>153</v>
      </c>
      <c r="B67" s="487">
        <f>D60*20%/B60</f>
        <v>0.2244593823279491</v>
      </c>
      <c r="C67" s="488">
        <f>D60*80%/C60</f>
        <v>7.3414570922002449</v>
      </c>
      <c r="D67" s="325"/>
      <c r="E67" s="325"/>
      <c r="F67" s="252"/>
      <c r="G67" s="252"/>
      <c r="I67" s="252"/>
      <c r="J67" s="252"/>
      <c r="K67" s="252"/>
      <c r="L67" s="252"/>
    </row>
    <row r="68" spans="1:21" s="325" customFormat="1" ht="13.5" thickBot="1" x14ac:dyDescent="0.25"/>
    <row r="69" spans="1:21" s="325" customFormat="1" ht="24.95" customHeight="1" x14ac:dyDescent="0.2">
      <c r="A69" s="617" t="s">
        <v>142</v>
      </c>
      <c r="B69" s="173" t="s">
        <v>219</v>
      </c>
      <c r="C69" s="173"/>
      <c r="D69" s="173"/>
      <c r="E69" s="173"/>
      <c r="F69" s="173"/>
      <c r="G69" s="173"/>
      <c r="H69" s="326" t="s">
        <v>220</v>
      </c>
      <c r="I69" s="326"/>
      <c r="J69" s="374"/>
      <c r="K69" s="374"/>
      <c r="L69" s="374"/>
      <c r="M69" s="327"/>
    </row>
    <row r="70" spans="1:21" s="325" customFormat="1" ht="24.95" customHeight="1" x14ac:dyDescent="0.2">
      <c r="A70" s="618"/>
      <c r="B70" s="175" t="s">
        <v>15</v>
      </c>
      <c r="C70" s="175" t="s">
        <v>16</v>
      </c>
      <c r="D70" s="175" t="s">
        <v>17</v>
      </c>
      <c r="E70" s="175" t="s">
        <v>18</v>
      </c>
      <c r="F70" s="175" t="s">
        <v>19</v>
      </c>
      <c r="G70" s="175" t="s">
        <v>20</v>
      </c>
      <c r="H70" s="175" t="s">
        <v>15</v>
      </c>
      <c r="I70" s="175" t="s">
        <v>16</v>
      </c>
      <c r="J70" s="175" t="s">
        <v>17</v>
      </c>
      <c r="K70" s="175" t="s">
        <v>18</v>
      </c>
      <c r="L70" s="175" t="s">
        <v>19</v>
      </c>
      <c r="M70" s="176" t="s">
        <v>20</v>
      </c>
    </row>
    <row r="71" spans="1:21" s="325" customFormat="1" ht="30" customHeight="1" x14ac:dyDescent="0.2">
      <c r="A71" s="364" t="s">
        <v>2</v>
      </c>
      <c r="B71" s="527">
        <f>$B$66*B53</f>
        <v>1.1154035149337298</v>
      </c>
      <c r="C71" s="527">
        <f t="shared" ref="C71:G71" si="29">$B$66*C53</f>
        <v>1.1154035149337298</v>
      </c>
      <c r="D71" s="527">
        <f t="shared" si="29"/>
        <v>0.59822403245323519</v>
      </c>
      <c r="E71" s="527">
        <f t="shared" si="29"/>
        <v>0.46093460748641696</v>
      </c>
      <c r="F71" s="527">
        <f t="shared" si="29"/>
        <v>3.8220193008963281E-2</v>
      </c>
      <c r="G71" s="527">
        <f t="shared" si="29"/>
        <v>3.8220193008963281E-2</v>
      </c>
      <c r="H71" s="508">
        <f>$C$66*H53</f>
        <v>3.5193723435937192E-2</v>
      </c>
      <c r="I71" s="508">
        <f t="shared" ref="I71:M71" si="30">$C$66*I53</f>
        <v>2.8725286412393396E-2</v>
      </c>
      <c r="J71" s="508">
        <f t="shared" si="30"/>
        <v>1.6033809181687297E-2</v>
      </c>
      <c r="K71" s="508">
        <f t="shared" si="30"/>
        <v>1.0722464182989347E-2</v>
      </c>
      <c r="L71" s="508">
        <f t="shared" si="30"/>
        <v>7.7750984315444591E-4</v>
      </c>
      <c r="M71" s="508">
        <f t="shared" si="30"/>
        <v>7.7750984315444591E-4</v>
      </c>
      <c r="O71" s="335"/>
      <c r="P71" s="334"/>
      <c r="Q71" s="334"/>
      <c r="R71" s="334"/>
      <c r="S71" s="334"/>
      <c r="T71" s="334"/>
      <c r="U71" s="328"/>
    </row>
    <row r="72" spans="1:21" s="325" customFormat="1" ht="30" customHeight="1" x14ac:dyDescent="0.2">
      <c r="A72" s="375" t="s">
        <v>146</v>
      </c>
      <c r="B72" s="528">
        <f>B54*$B$67</f>
        <v>2.9925565591332646</v>
      </c>
      <c r="C72" s="528">
        <f t="shared" ref="C72:G72" si="31">C54*$B$67</f>
        <v>2.9925565591332646</v>
      </c>
      <c r="D72" s="528">
        <f t="shared" si="31"/>
        <v>1.6414893173321128</v>
      </c>
      <c r="E72" s="528">
        <f t="shared" si="31"/>
        <v>1.2355165058165214</v>
      </c>
      <c r="F72" s="528">
        <f t="shared" si="31"/>
        <v>7.4434010952535365E-2</v>
      </c>
      <c r="G72" s="528">
        <f t="shared" si="31"/>
        <v>7.4434010952535365E-2</v>
      </c>
      <c r="H72" s="512">
        <f>$C$67*H54</f>
        <v>9.3394926685489391E-2</v>
      </c>
      <c r="I72" s="512">
        <f t="shared" ref="I72:M72" si="32">$C$67*I54</f>
        <v>7.6774264628933317E-2</v>
      </c>
      <c r="J72" s="512">
        <f t="shared" si="32"/>
        <v>4.411853194584605E-2</v>
      </c>
      <c r="K72" s="512">
        <f t="shared" si="32"/>
        <v>2.9466688715793332E-2</v>
      </c>
      <c r="L72" s="512">
        <f t="shared" si="32"/>
        <v>1.5609715916982288E-3</v>
      </c>
      <c r="M72" s="512">
        <f t="shared" si="32"/>
        <v>1.5609715916982288E-3</v>
      </c>
      <c r="O72" s="335"/>
      <c r="P72" s="334"/>
      <c r="Q72" s="334"/>
      <c r="R72" s="334"/>
      <c r="S72" s="334"/>
      <c r="T72" s="334"/>
      <c r="U72" s="328"/>
    </row>
    <row r="73" spans="1:21" s="325" customFormat="1" ht="30" customHeight="1" thickBot="1" x14ac:dyDescent="0.25">
      <c r="A73" s="390" t="s">
        <v>150</v>
      </c>
      <c r="B73" s="529">
        <f>SUM(B71:B72)</f>
        <v>4.1079600740669946</v>
      </c>
      <c r="C73" s="529">
        <f>SUM(C71:C72)</f>
        <v>4.1079600740669946</v>
      </c>
      <c r="D73" s="529">
        <f t="shared" ref="D73" si="33">SUM(D71:D72)</f>
        <v>2.2397133497853479</v>
      </c>
      <c r="E73" s="529">
        <f t="shared" ref="E73" si="34">SUM(E71:E72)</f>
        <v>1.6964511133029383</v>
      </c>
      <c r="F73" s="529">
        <f t="shared" ref="F73" si="35">SUM(F71:F72)</f>
        <v>0.11265420396149864</v>
      </c>
      <c r="G73" s="529">
        <f t="shared" ref="G73" si="36">SUM(G71:G72)</f>
        <v>0.11265420396149864</v>
      </c>
      <c r="H73" s="510">
        <f>SUM(H71:H72)</f>
        <v>0.12858865012142659</v>
      </c>
      <c r="I73" s="510">
        <f t="shared" ref="I73" si="37">SUM(I71:I72)</f>
        <v>0.10549955104132672</v>
      </c>
      <c r="J73" s="510">
        <f t="shared" ref="J73" si="38">SUM(J71:J72)</f>
        <v>6.0152341127533343E-2</v>
      </c>
      <c r="K73" s="510">
        <f t="shared" ref="K73" si="39">SUM(K71:K72)</f>
        <v>4.0189152898782679E-2</v>
      </c>
      <c r="L73" s="510">
        <f t="shared" ref="L73" si="40">SUM(L71:L72)</f>
        <v>2.3384814348526746E-3</v>
      </c>
      <c r="M73" s="511">
        <f t="shared" ref="M73" si="41">SUM(M71:M72)</f>
        <v>2.3384814348526746E-3</v>
      </c>
      <c r="O73" s="335"/>
      <c r="P73" s="335"/>
      <c r="Q73" s="334"/>
      <c r="R73" s="334"/>
      <c r="S73" s="334"/>
      <c r="T73" s="334"/>
      <c r="U73" s="328"/>
    </row>
    <row r="75" spans="1:21" x14ac:dyDescent="0.2">
      <c r="B75" s="389"/>
      <c r="C75" s="389"/>
      <c r="D75" s="389"/>
      <c r="E75" s="389"/>
      <c r="F75" s="389"/>
      <c r="G75" s="389"/>
      <c r="H75" s="389"/>
      <c r="I75" s="389"/>
      <c r="J75" s="389"/>
      <c r="K75" s="389"/>
      <c r="L75" s="389"/>
      <c r="M75" s="389"/>
    </row>
  </sheetData>
  <mergeCells count="10">
    <mergeCell ref="E57:E58"/>
    <mergeCell ref="A23:A24"/>
    <mergeCell ref="E23:E24"/>
    <mergeCell ref="A30:A31"/>
    <mergeCell ref="A35:A36"/>
    <mergeCell ref="A64:A65"/>
    <mergeCell ref="A69:A70"/>
    <mergeCell ref="A17:A18"/>
    <mergeCell ref="A51:A52"/>
    <mergeCell ref="A57:A58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F5F77-AFAB-4D56-9E7E-F948BCC7ABC0}">
  <sheetPr>
    <pageSetUpPr fitToPage="1"/>
  </sheetPr>
  <dimension ref="A1:J72"/>
  <sheetViews>
    <sheetView showGridLines="0" workbookViewId="0">
      <selection activeCell="E69" sqref="E69"/>
    </sheetView>
  </sheetViews>
  <sheetFormatPr baseColWidth="10" defaultRowHeight="12.75" x14ac:dyDescent="0.2"/>
  <cols>
    <col min="1" max="1" width="21.42578125" customWidth="1"/>
    <col min="11" max="11" width="2.42578125" customWidth="1"/>
  </cols>
  <sheetData>
    <row r="1" spans="1:10" s="1" customFormat="1" x14ac:dyDescent="0.2"/>
    <row r="2" spans="1:10" s="1" customFormat="1" x14ac:dyDescent="0.2"/>
    <row r="3" spans="1:10" s="1" customFormat="1" x14ac:dyDescent="0.2"/>
    <row r="4" spans="1:10" s="1" customFormat="1" x14ac:dyDescent="0.2"/>
    <row r="5" spans="1:10" s="1" customFormat="1" x14ac:dyDescent="0.2"/>
    <row r="6" spans="1:10" s="4" customFormat="1" ht="30" customHeight="1" x14ac:dyDescent="0.2">
      <c r="A6" s="385" t="s">
        <v>216</v>
      </c>
      <c r="B6" s="385"/>
    </row>
    <row r="7" spans="1:10" ht="5.0999999999999996" customHeight="1" x14ac:dyDescent="0.2"/>
    <row r="8" spans="1:10" s="396" customFormat="1" ht="15.75" x14ac:dyDescent="0.25">
      <c r="A8" s="401" t="s">
        <v>76</v>
      </c>
      <c r="B8" s="402"/>
      <c r="C8" s="402"/>
      <c r="D8" s="402"/>
      <c r="E8" s="402"/>
      <c r="F8" s="402"/>
      <c r="G8" s="402"/>
      <c r="H8" s="402"/>
      <c r="I8" s="402"/>
      <c r="J8" s="402"/>
    </row>
    <row r="9" spans="1:10" ht="13.5" thickBot="1" x14ac:dyDescent="0.25"/>
    <row r="10" spans="1:10" ht="27.75" customHeight="1" thickBot="1" x14ac:dyDescent="0.25">
      <c r="A10" s="1"/>
      <c r="B10" s="1"/>
      <c r="C10" s="449" t="s">
        <v>41</v>
      </c>
      <c r="D10" s="450"/>
      <c r="E10" s="450"/>
      <c r="F10" s="451"/>
      <c r="G10" s="1"/>
      <c r="H10" s="1"/>
      <c r="I10" s="1"/>
      <c r="J10" s="1"/>
    </row>
    <row r="11" spans="1:10" ht="26.25" thickBot="1" x14ac:dyDescent="0.25">
      <c r="A11" s="445" t="s">
        <v>51</v>
      </c>
      <c r="B11" s="446" t="s">
        <v>107</v>
      </c>
      <c r="C11" s="447" t="s">
        <v>70</v>
      </c>
      <c r="D11" s="447" t="s">
        <v>42</v>
      </c>
      <c r="E11" s="447" t="s">
        <v>43</v>
      </c>
      <c r="F11" s="447" t="s">
        <v>44</v>
      </c>
      <c r="G11" s="446" t="s">
        <v>45</v>
      </c>
      <c r="H11" s="446" t="s">
        <v>46</v>
      </c>
      <c r="I11" s="446" t="s">
        <v>9</v>
      </c>
      <c r="J11" s="448" t="s">
        <v>47</v>
      </c>
    </row>
    <row r="12" spans="1:10" x14ac:dyDescent="0.2">
      <c r="A12" s="452" t="s">
        <v>40</v>
      </c>
      <c r="B12" s="453">
        <v>28785.925999999992</v>
      </c>
      <c r="C12" s="453">
        <v>12503.100167419847</v>
      </c>
      <c r="D12" s="453">
        <v>6570.0284502933591</v>
      </c>
      <c r="E12" s="453">
        <v>6632.8008997689194</v>
      </c>
      <c r="F12" s="453">
        <v>0</v>
      </c>
      <c r="G12" s="453">
        <v>2552.9500000000003</v>
      </c>
      <c r="H12" s="454">
        <f>G12/$G$17</f>
        <v>7.0461233418653943E-2</v>
      </c>
      <c r="I12" s="453">
        <v>527.04686251786222</v>
      </c>
      <c r="J12" s="455">
        <f>SUM(B12:B12)/SUM(C12:G12)-1</f>
        <v>1.86506503979329E-2</v>
      </c>
    </row>
    <row r="13" spans="1:10" x14ac:dyDescent="0.2">
      <c r="A13" s="456" t="s">
        <v>39</v>
      </c>
      <c r="B13" s="457">
        <v>5185.9659999999994</v>
      </c>
      <c r="C13" s="457">
        <v>0</v>
      </c>
      <c r="D13" s="457">
        <v>5639.6661570662673</v>
      </c>
      <c r="E13" s="457">
        <v>10678.822534206498</v>
      </c>
      <c r="F13" s="457">
        <v>0</v>
      </c>
      <c r="G13" s="457">
        <v>1085.1859999999999</v>
      </c>
      <c r="H13" s="458">
        <f>G13/$G$17</f>
        <v>2.9951054289608248E-2</v>
      </c>
      <c r="I13" s="457">
        <v>285.39147614708577</v>
      </c>
      <c r="J13" s="459">
        <f>SUM(B13:B13,C17)/SUM(C13:G13)-1</f>
        <v>1.6398345821195592E-2</v>
      </c>
    </row>
    <row r="14" spans="1:10" x14ac:dyDescent="0.2">
      <c r="A14" s="456" t="s">
        <v>38</v>
      </c>
      <c r="B14" s="457">
        <v>5732.9579999999987</v>
      </c>
      <c r="C14" s="457">
        <v>0</v>
      </c>
      <c r="D14" s="457">
        <v>0</v>
      </c>
      <c r="E14" s="457">
        <v>14721.202635726244</v>
      </c>
      <c r="F14" s="457">
        <v>7.8395070531182673</v>
      </c>
      <c r="G14" s="457">
        <v>2930.7879757859941</v>
      </c>
      <c r="H14" s="458">
        <f>G14/$G$17</f>
        <v>8.0889533936207597E-2</v>
      </c>
      <c r="I14" s="457">
        <v>282.82248879427021</v>
      </c>
      <c r="J14" s="459">
        <f>SUM(B14:B14,D17)/SUM(C14:G14)-1</f>
        <v>1.6015017522560626E-2</v>
      </c>
    </row>
    <row r="15" spans="1:10" x14ac:dyDescent="0.2">
      <c r="A15" s="456" t="s">
        <v>37</v>
      </c>
      <c r="B15" s="457">
        <v>1199.2130000000016</v>
      </c>
      <c r="C15" s="457">
        <v>0</v>
      </c>
      <c r="D15" s="457">
        <v>0</v>
      </c>
      <c r="E15" s="457">
        <v>0</v>
      </c>
      <c r="F15" s="457">
        <v>23047.07616133818</v>
      </c>
      <c r="G15" s="457">
        <v>9016.7020242140043</v>
      </c>
      <c r="H15" s="458">
        <f>G15/$G$17</f>
        <v>0.24886031688618748</v>
      </c>
      <c r="I15" s="457">
        <v>1168.2604841494776</v>
      </c>
      <c r="J15" s="459">
        <f>SUM(B15:B15,E17)/SUM(C15:G15)-1</f>
        <v>3.6435534121674218E-2</v>
      </c>
    </row>
    <row r="16" spans="1:10" ht="13.5" thickBot="1" x14ac:dyDescent="0.25">
      <c r="A16" s="460" t="s">
        <v>50</v>
      </c>
      <c r="B16" s="461">
        <v>7.7470000000000132</v>
      </c>
      <c r="C16" s="461">
        <v>0</v>
      </c>
      <c r="D16" s="461">
        <v>0</v>
      </c>
      <c r="E16" s="461">
        <v>0</v>
      </c>
      <c r="F16" s="461">
        <v>0</v>
      </c>
      <c r="G16" s="461">
        <v>20646.353999999992</v>
      </c>
      <c r="H16" s="462">
        <f>G16/$G$17</f>
        <v>0.56983786146934279</v>
      </c>
      <c r="I16" s="461">
        <v>2416.3090683912983</v>
      </c>
      <c r="J16" s="463">
        <f>SUM(B16:B16,F17)/SUM(C16:G16)-1</f>
        <v>0.11703318989838629</v>
      </c>
    </row>
    <row r="17" spans="1:10" ht="13.5" thickBot="1" x14ac:dyDescent="0.25">
      <c r="A17" s="403" t="s">
        <v>4</v>
      </c>
      <c r="B17" s="464">
        <f t="shared" ref="B17:I17" si="0">SUM(B12:B16)</f>
        <v>40911.81</v>
      </c>
      <c r="C17" s="464">
        <f t="shared" si="0"/>
        <v>12503.100167419847</v>
      </c>
      <c r="D17" s="464">
        <f t="shared" si="0"/>
        <v>12209.694607359626</v>
      </c>
      <c r="E17" s="464">
        <f t="shared" si="0"/>
        <v>32032.826069701659</v>
      </c>
      <c r="F17" s="464">
        <f t="shared" si="0"/>
        <v>23054.915668391299</v>
      </c>
      <c r="G17" s="464">
        <f t="shared" si="0"/>
        <v>36231.979999999989</v>
      </c>
      <c r="H17" s="465">
        <f>SUM(H12:H16)</f>
        <v>1</v>
      </c>
      <c r="I17" s="464">
        <f t="shared" si="0"/>
        <v>4679.830379999994</v>
      </c>
      <c r="J17" s="466"/>
    </row>
    <row r="19" spans="1:10" s="396" customFormat="1" ht="15.75" x14ac:dyDescent="0.25">
      <c r="A19" s="401" t="s">
        <v>77</v>
      </c>
      <c r="B19" s="402"/>
      <c r="C19" s="402"/>
      <c r="D19" s="402"/>
      <c r="E19" s="402"/>
      <c r="F19" s="402"/>
      <c r="G19" s="402"/>
      <c r="H19" s="402"/>
      <c r="I19" s="402"/>
      <c r="J19" s="402"/>
    </row>
    <row r="20" spans="1:10" ht="13.5" thickBot="1" x14ac:dyDescent="0.25"/>
    <row r="21" spans="1:10" ht="27.75" customHeight="1" thickBot="1" x14ac:dyDescent="0.25">
      <c r="A21" s="1"/>
      <c r="B21" s="1"/>
      <c r="C21" s="449" t="s">
        <v>41</v>
      </c>
      <c r="D21" s="450"/>
      <c r="E21" s="450"/>
      <c r="F21" s="451"/>
      <c r="G21" s="1"/>
      <c r="H21" s="1"/>
      <c r="I21" s="1"/>
      <c r="J21" s="1"/>
    </row>
    <row r="22" spans="1:10" ht="26.25" thickBot="1" x14ac:dyDescent="0.25">
      <c r="A22" s="445" t="s">
        <v>51</v>
      </c>
      <c r="B22" s="446" t="s">
        <v>107</v>
      </c>
      <c r="C22" s="447" t="s">
        <v>70</v>
      </c>
      <c r="D22" s="447" t="s">
        <v>42</v>
      </c>
      <c r="E22" s="447" t="s">
        <v>43</v>
      </c>
      <c r="F22" s="447" t="s">
        <v>44</v>
      </c>
      <c r="G22" s="446" t="s">
        <v>45</v>
      </c>
      <c r="H22" s="446" t="s">
        <v>46</v>
      </c>
      <c r="I22" s="446" t="s">
        <v>9</v>
      </c>
      <c r="J22" s="448" t="s">
        <v>47</v>
      </c>
    </row>
    <row r="23" spans="1:10" x14ac:dyDescent="0.2">
      <c r="A23" s="452" t="s">
        <v>40</v>
      </c>
      <c r="B23" s="453">
        <v>27935.806</v>
      </c>
      <c r="C23" s="453">
        <v>11950.825076475934</v>
      </c>
      <c r="D23" s="453">
        <v>6723.6378539411462</v>
      </c>
      <c r="E23" s="453">
        <v>6860.1139984846814</v>
      </c>
      <c r="F23" s="453">
        <v>0</v>
      </c>
      <c r="G23" s="453">
        <v>2079.7189999999996</v>
      </c>
      <c r="H23" s="454">
        <f>G23/$G$28</f>
        <v>5.6094950510690786E-2</v>
      </c>
      <c r="I23" s="453">
        <v>321.50959109824311</v>
      </c>
      <c r="J23" s="455">
        <f>SUM(B23:B23)/SUM(C23:G23)-1</f>
        <v>1.1642884972552725E-2</v>
      </c>
    </row>
    <row r="24" spans="1:10" x14ac:dyDescent="0.2">
      <c r="A24" s="456" t="s">
        <v>39</v>
      </c>
      <c r="B24" s="457">
        <v>3944.7420000000002</v>
      </c>
      <c r="C24" s="457">
        <v>0</v>
      </c>
      <c r="D24" s="457">
        <v>4810.1044246928932</v>
      </c>
      <c r="E24" s="457">
        <v>9761.1606549156786</v>
      </c>
      <c r="F24" s="457">
        <v>0</v>
      </c>
      <c r="G24" s="457">
        <v>1156.6910000000003</v>
      </c>
      <c r="H24" s="458">
        <f>G24/$G$28</f>
        <v>3.1198697709239311E-2</v>
      </c>
      <c r="I24" s="457">
        <v>167.61099686736489</v>
      </c>
      <c r="J24" s="459">
        <f>SUM(B24:B24,C28)/SUM(C24:G24)-1</f>
        <v>1.0656883578449738E-2</v>
      </c>
    </row>
    <row r="25" spans="1:10" x14ac:dyDescent="0.2">
      <c r="A25" s="456" t="s">
        <v>38</v>
      </c>
      <c r="B25" s="457">
        <v>5067.5770000000102</v>
      </c>
      <c r="C25" s="457">
        <v>0</v>
      </c>
      <c r="D25" s="457">
        <v>0</v>
      </c>
      <c r="E25" s="457">
        <v>13313.621969449603</v>
      </c>
      <c r="F25" s="457">
        <v>5.9911954819302284</v>
      </c>
      <c r="G25" s="457">
        <v>3038.3143534091782</v>
      </c>
      <c r="H25" s="458">
        <f>G25/$G$28</f>
        <v>8.1950539130723601E-2</v>
      </c>
      <c r="I25" s="457">
        <v>243.39176029333598</v>
      </c>
      <c r="J25" s="459">
        <f>SUM(B25:B25,D28)/SUM(C25:G25)-1</f>
        <v>1.487913184726164E-2</v>
      </c>
    </row>
    <row r="26" spans="1:10" x14ac:dyDescent="0.2">
      <c r="A26" s="456" t="s">
        <v>37</v>
      </c>
      <c r="B26" s="457">
        <v>1860.7110009999931</v>
      </c>
      <c r="C26" s="457">
        <v>0</v>
      </c>
      <c r="D26" s="457">
        <v>0</v>
      </c>
      <c r="E26" s="457">
        <v>0</v>
      </c>
      <c r="F26" s="457">
        <v>19221.14482971808</v>
      </c>
      <c r="G26" s="457">
        <v>11616.513646590824</v>
      </c>
      <c r="H26" s="458">
        <f>G26/$G$28</f>
        <v>0.31332490500508797</v>
      </c>
      <c r="I26" s="457">
        <v>957.94880754105998</v>
      </c>
      <c r="J26" s="459">
        <f>SUM(B26:B26,E28)/SUM(C26:G26)-1</f>
        <v>3.1064263464652964E-2</v>
      </c>
    </row>
    <row r="27" spans="1:10" ht="13.5" thickBot="1" x14ac:dyDescent="0.25">
      <c r="A27" s="460" t="s">
        <v>50</v>
      </c>
      <c r="B27" s="461">
        <v>1603.0069999999928</v>
      </c>
      <c r="C27" s="461">
        <v>0</v>
      </c>
      <c r="D27" s="461">
        <v>0</v>
      </c>
      <c r="E27" s="461">
        <v>0</v>
      </c>
      <c r="F27" s="461">
        <v>0</v>
      </c>
      <c r="G27" s="461">
        <v>19183.739000000005</v>
      </c>
      <c r="H27" s="462">
        <f>G27/$G$28</f>
        <v>0.51743090764425836</v>
      </c>
      <c r="I27" s="461">
        <v>1646.4043651999923</v>
      </c>
      <c r="J27" s="463">
        <f>SUM(B27:B27,F28)/SUM(C27:G27)-1</f>
        <v>8.5822895380300857E-2</v>
      </c>
    </row>
    <row r="28" spans="1:10" ht="13.5" thickBot="1" x14ac:dyDescent="0.25">
      <c r="A28" s="403" t="s">
        <v>4</v>
      </c>
      <c r="B28" s="464">
        <f t="shared" ref="B28:I28" si="1">SUM(B23:B27)</f>
        <v>40411.843001000001</v>
      </c>
      <c r="C28" s="464">
        <f t="shared" si="1"/>
        <v>11950.825076475934</v>
      </c>
      <c r="D28" s="464">
        <f t="shared" si="1"/>
        <v>11533.742278634039</v>
      </c>
      <c r="E28" s="464">
        <f t="shared" si="1"/>
        <v>29934.896622849963</v>
      </c>
      <c r="F28" s="464">
        <f t="shared" si="1"/>
        <v>19227.136025200009</v>
      </c>
      <c r="G28" s="464">
        <f t="shared" si="1"/>
        <v>37074.977000000006</v>
      </c>
      <c r="H28" s="465">
        <f t="shared" si="1"/>
        <v>1</v>
      </c>
      <c r="I28" s="464">
        <f t="shared" si="1"/>
        <v>3336.8655209999961</v>
      </c>
      <c r="J28" s="466"/>
    </row>
    <row r="30" spans="1:10" s="396" customFormat="1" ht="15.75" x14ac:dyDescent="0.25">
      <c r="A30" s="401" t="s">
        <v>78</v>
      </c>
      <c r="B30" s="402"/>
      <c r="C30" s="402"/>
      <c r="D30" s="402"/>
      <c r="E30" s="402"/>
      <c r="F30" s="402"/>
      <c r="G30" s="402"/>
      <c r="H30" s="402"/>
      <c r="I30" s="402"/>
      <c r="J30" s="402"/>
    </row>
    <row r="31" spans="1:10" ht="13.5" thickBot="1" x14ac:dyDescent="0.25"/>
    <row r="32" spans="1:10" ht="27.75" customHeight="1" thickBot="1" x14ac:dyDescent="0.25">
      <c r="A32" s="1"/>
      <c r="B32" s="1"/>
      <c r="C32" s="449" t="s">
        <v>41</v>
      </c>
      <c r="D32" s="450"/>
      <c r="E32" s="450"/>
      <c r="F32" s="451"/>
      <c r="G32" s="1"/>
      <c r="H32" s="1"/>
      <c r="I32" s="1"/>
      <c r="J32" s="1"/>
    </row>
    <row r="33" spans="1:10" ht="26.25" thickBot="1" x14ac:dyDescent="0.25">
      <c r="A33" s="445" t="s">
        <v>51</v>
      </c>
      <c r="B33" s="446" t="s">
        <v>107</v>
      </c>
      <c r="C33" s="447" t="s">
        <v>70</v>
      </c>
      <c r="D33" s="447" t="s">
        <v>42</v>
      </c>
      <c r="E33" s="447" t="s">
        <v>43</v>
      </c>
      <c r="F33" s="447" t="s">
        <v>44</v>
      </c>
      <c r="G33" s="446" t="s">
        <v>45</v>
      </c>
      <c r="H33" s="446" t="s">
        <v>46</v>
      </c>
      <c r="I33" s="446" t="s">
        <v>9</v>
      </c>
      <c r="J33" s="448" t="s">
        <v>47</v>
      </c>
    </row>
    <row r="34" spans="1:10" x14ac:dyDescent="0.2">
      <c r="A34" s="452" t="s">
        <v>40</v>
      </c>
      <c r="B34" s="453">
        <v>26476.538</v>
      </c>
      <c r="C34" s="453">
        <v>11069.445718423609</v>
      </c>
      <c r="D34" s="453">
        <v>6521.7641728075851</v>
      </c>
      <c r="E34" s="453">
        <v>6481.5541249751377</v>
      </c>
      <c r="F34" s="453">
        <v>0</v>
      </c>
      <c r="G34" s="453">
        <v>2164.2779999999998</v>
      </c>
      <c r="H34" s="454">
        <f>G34/$G$39</f>
        <v>6.0721872368133319E-2</v>
      </c>
      <c r="I34" s="453">
        <v>239.97052379367008</v>
      </c>
      <c r="J34" s="455">
        <f>SUM(B34:B34)/SUM(C34:G34)-1</f>
        <v>9.1281625286012691E-3</v>
      </c>
    </row>
    <row r="35" spans="1:10" x14ac:dyDescent="0.2">
      <c r="A35" s="456" t="s">
        <v>39</v>
      </c>
      <c r="B35" s="457">
        <v>3976.5270000000005</v>
      </c>
      <c r="C35" s="457">
        <v>0</v>
      </c>
      <c r="D35" s="457">
        <v>4476.3608491037558</v>
      </c>
      <c r="E35" s="457">
        <v>9165.110558139766</v>
      </c>
      <c r="F35" s="457">
        <v>0</v>
      </c>
      <c r="G35" s="457">
        <v>1209.7810000000002</v>
      </c>
      <c r="H35" s="458">
        <f>G35/$G$39</f>
        <v>3.3942112554576034E-2</v>
      </c>
      <c r="I35" s="457">
        <v>194.72031118008908</v>
      </c>
      <c r="J35" s="459">
        <f>SUM(B35:B35,C39)/SUM(C35:G35)-1</f>
        <v>1.3111373091007072E-2</v>
      </c>
    </row>
    <row r="36" spans="1:10" x14ac:dyDescent="0.2">
      <c r="A36" s="456" t="s">
        <v>38</v>
      </c>
      <c r="B36" s="457">
        <v>4619.5819999999967</v>
      </c>
      <c r="C36" s="457">
        <v>0</v>
      </c>
      <c r="D36" s="457">
        <v>0</v>
      </c>
      <c r="E36" s="457">
        <v>12260.70817396339</v>
      </c>
      <c r="F36" s="457">
        <v>5.7743660629681486</v>
      </c>
      <c r="G36" s="457">
        <v>3101.964630986241</v>
      </c>
      <c r="H36" s="458">
        <f>G36/$G$39</f>
        <v>8.7029993565156741E-2</v>
      </c>
      <c r="I36" s="457">
        <v>249.25985089873978</v>
      </c>
      <c r="J36" s="459">
        <f>SUM(B36:B36,D39)/SUM(C36:G36)-1</f>
        <v>1.6218935337129148E-2</v>
      </c>
    </row>
    <row r="37" spans="1:10" x14ac:dyDescent="0.2">
      <c r="A37" s="456" t="s">
        <v>37</v>
      </c>
      <c r="B37" s="457">
        <v>2038.3159990000006</v>
      </c>
      <c r="C37" s="457">
        <v>0</v>
      </c>
      <c r="D37" s="457">
        <v>0</v>
      </c>
      <c r="E37" s="457">
        <v>0</v>
      </c>
      <c r="F37" s="457">
        <v>17429.619809371408</v>
      </c>
      <c r="G37" s="457">
        <v>11575.246369013759</v>
      </c>
      <c r="H37" s="458">
        <f>G37/$G$39</f>
        <v>0.32475986571454873</v>
      </c>
      <c r="I37" s="457">
        <v>940.82225769312333</v>
      </c>
      <c r="J37" s="459">
        <f>SUM(B37:B37,E39)/SUM(C37:G37)-1</f>
        <v>3.2436718442584889E-2</v>
      </c>
    </row>
    <row r="38" spans="1:10" ht="13.5" thickBot="1" x14ac:dyDescent="0.25">
      <c r="A38" s="460" t="s">
        <v>50</v>
      </c>
      <c r="B38" s="461">
        <v>1675.3819999999928</v>
      </c>
      <c r="C38" s="461">
        <v>0</v>
      </c>
      <c r="D38" s="461">
        <v>0</v>
      </c>
      <c r="E38" s="461">
        <v>0</v>
      </c>
      <c r="F38" s="461">
        <v>0</v>
      </c>
      <c r="G38" s="461">
        <v>17591.207999999999</v>
      </c>
      <c r="H38" s="462">
        <f>G38/$G$39</f>
        <v>0.49354615579758504</v>
      </c>
      <c r="I38" s="461">
        <v>1519.5395954343653</v>
      </c>
      <c r="J38" s="463">
        <f>SUM(B38:B38,F39)/SUM(C38:G38)-1</f>
        <v>8.6382252738661958E-2</v>
      </c>
    </row>
    <row r="39" spans="1:10" ht="13.5" thickBot="1" x14ac:dyDescent="0.25">
      <c r="A39" s="403" t="s">
        <v>4</v>
      </c>
      <c r="B39" s="464">
        <f t="shared" ref="B39:I39" si="2">SUM(B34:B38)</f>
        <v>38786.344998999986</v>
      </c>
      <c r="C39" s="464">
        <f t="shared" si="2"/>
        <v>11069.445718423609</v>
      </c>
      <c r="D39" s="464">
        <f t="shared" si="2"/>
        <v>10998.125021911341</v>
      </c>
      <c r="E39" s="464">
        <f t="shared" si="2"/>
        <v>27907.372857078295</v>
      </c>
      <c r="F39" s="464">
        <f t="shared" si="2"/>
        <v>17435.394175434376</v>
      </c>
      <c r="G39" s="464">
        <f t="shared" si="2"/>
        <v>35642.478000000003</v>
      </c>
      <c r="H39" s="465">
        <f t="shared" si="2"/>
        <v>1</v>
      </c>
      <c r="I39" s="464">
        <f t="shared" si="2"/>
        <v>3144.3125389999877</v>
      </c>
      <c r="J39" s="466"/>
    </row>
    <row r="41" spans="1:10" s="396" customFormat="1" ht="15.75" x14ac:dyDescent="0.25">
      <c r="A41" s="401" t="s">
        <v>79</v>
      </c>
      <c r="B41" s="402"/>
      <c r="C41" s="402"/>
      <c r="D41" s="402"/>
      <c r="E41" s="402"/>
      <c r="F41" s="402"/>
      <c r="G41" s="402"/>
      <c r="H41" s="402"/>
      <c r="I41" s="402"/>
      <c r="J41" s="402"/>
    </row>
    <row r="42" spans="1:10" ht="13.5" thickBot="1" x14ac:dyDescent="0.25"/>
    <row r="43" spans="1:10" ht="27.75" customHeight="1" thickBot="1" x14ac:dyDescent="0.25">
      <c r="A43" s="1"/>
      <c r="B43" s="1"/>
      <c r="C43" s="449" t="s">
        <v>41</v>
      </c>
      <c r="D43" s="450"/>
      <c r="E43" s="450"/>
      <c r="F43" s="451"/>
      <c r="G43" s="1"/>
      <c r="H43" s="1"/>
      <c r="I43" s="1"/>
      <c r="J43" s="1"/>
    </row>
    <row r="44" spans="1:10" ht="26.25" thickBot="1" x14ac:dyDescent="0.25">
      <c r="A44" s="445" t="s">
        <v>51</v>
      </c>
      <c r="B44" s="446" t="s">
        <v>107</v>
      </c>
      <c r="C44" s="447" t="s">
        <v>70</v>
      </c>
      <c r="D44" s="447" t="s">
        <v>42</v>
      </c>
      <c r="E44" s="447" t="s">
        <v>43</v>
      </c>
      <c r="F44" s="447" t="s">
        <v>44</v>
      </c>
      <c r="G44" s="446" t="s">
        <v>45</v>
      </c>
      <c r="H44" s="446" t="s">
        <v>46</v>
      </c>
      <c r="I44" s="446" t="s">
        <v>9</v>
      </c>
      <c r="J44" s="448" t="s">
        <v>47</v>
      </c>
    </row>
    <row r="45" spans="1:10" x14ac:dyDescent="0.2">
      <c r="A45" s="452" t="s">
        <v>40</v>
      </c>
      <c r="B45" s="453">
        <v>25964.804000000004</v>
      </c>
      <c r="C45" s="453">
        <v>10786.768204645548</v>
      </c>
      <c r="D45" s="453">
        <v>6372.8022537971638</v>
      </c>
      <c r="E45" s="453">
        <v>6432.8533693591153</v>
      </c>
      <c r="F45" s="453">
        <v>0</v>
      </c>
      <c r="G45" s="453">
        <v>2134.89</v>
      </c>
      <c r="H45" s="454">
        <f>G45/$G$50</f>
        <v>6.1010214893620851E-2</v>
      </c>
      <c r="I45" s="453">
        <v>237.49011219817746</v>
      </c>
      <c r="J45" s="455">
        <f>SUM(B45:B45)/SUM(C45:G45)-1</f>
        <v>9.231052016846597E-3</v>
      </c>
    </row>
    <row r="46" spans="1:10" x14ac:dyDescent="0.2">
      <c r="A46" s="456" t="s">
        <v>39</v>
      </c>
      <c r="B46" s="457">
        <v>3819.6320000000005</v>
      </c>
      <c r="C46" s="457">
        <v>0</v>
      </c>
      <c r="D46" s="457">
        <v>4276.5933326961476</v>
      </c>
      <c r="E46" s="457">
        <v>8936.2676532310543</v>
      </c>
      <c r="F46" s="457">
        <v>0</v>
      </c>
      <c r="G46" s="457">
        <v>1197.4919999999997</v>
      </c>
      <c r="H46" s="458">
        <f>G46/$G$50</f>
        <v>3.4221549706725786E-2</v>
      </c>
      <c r="I46" s="457">
        <v>196.04721871834687</v>
      </c>
      <c r="J46" s="459">
        <f>SUM(B46:B46,C50)/SUM(C46:G46)-1</f>
        <v>1.3604609055017702E-2</v>
      </c>
    </row>
    <row r="47" spans="1:10" x14ac:dyDescent="0.2">
      <c r="A47" s="456" t="s">
        <v>38</v>
      </c>
      <c r="B47" s="457">
        <v>4749.851999999999</v>
      </c>
      <c r="C47" s="457">
        <v>0</v>
      </c>
      <c r="D47" s="457">
        <v>0</v>
      </c>
      <c r="E47" s="457">
        <v>12096.754308786733</v>
      </c>
      <c r="F47" s="457">
        <v>5.6566065178181013</v>
      </c>
      <c r="G47" s="457">
        <v>3052.4075728341918</v>
      </c>
      <c r="H47" s="458">
        <f>G47/$G$50</f>
        <v>8.7230743486329365E-2</v>
      </c>
      <c r="I47" s="457">
        <v>244.42909835456695</v>
      </c>
      <c r="J47" s="459">
        <f>SUM(B47:B47,D50)/SUM(C47:G47)-1</f>
        <v>1.6128804086032122E-2</v>
      </c>
    </row>
    <row r="48" spans="1:10" x14ac:dyDescent="0.2">
      <c r="A48" s="456" t="s">
        <v>37</v>
      </c>
      <c r="B48" s="457">
        <v>1942.3370009999944</v>
      </c>
      <c r="C48" s="457">
        <v>0</v>
      </c>
      <c r="D48" s="457">
        <v>0</v>
      </c>
      <c r="E48" s="457">
        <v>0</v>
      </c>
      <c r="F48" s="457">
        <v>17246.665691578295</v>
      </c>
      <c r="G48" s="457">
        <v>11224.785427165809</v>
      </c>
      <c r="H48" s="458">
        <f>G48/$G$50</f>
        <v>0.32077838719848317</v>
      </c>
      <c r="I48" s="457">
        <v>936.76165363279415</v>
      </c>
      <c r="J48" s="459">
        <f>SUM(B48:B48,E50)/SUM(C48:G48)-1</f>
        <v>3.2901772717024658E-2</v>
      </c>
    </row>
    <row r="49" spans="1:10" ht="13.5" thickBot="1" x14ac:dyDescent="0.25">
      <c r="A49" s="460" t="s">
        <v>50</v>
      </c>
      <c r="B49" s="461">
        <v>1665.1759999999911</v>
      </c>
      <c r="C49" s="461">
        <v>0</v>
      </c>
      <c r="D49" s="461">
        <v>0</v>
      </c>
      <c r="E49" s="461">
        <v>0</v>
      </c>
      <c r="F49" s="461">
        <v>0</v>
      </c>
      <c r="G49" s="461">
        <v>17382.762000000002</v>
      </c>
      <c r="H49" s="462">
        <f>G49/$G$50</f>
        <v>0.49675910471484092</v>
      </c>
      <c r="I49" s="461">
        <v>1534.7088580961004</v>
      </c>
      <c r="J49" s="463">
        <f>SUM(B49:B49,F50)/SUM(C49:G49)-1</f>
        <v>8.8290704210073345E-2</v>
      </c>
    </row>
    <row r="50" spans="1:10" ht="13.5" thickBot="1" x14ac:dyDescent="0.25">
      <c r="A50" s="403" t="s">
        <v>4</v>
      </c>
      <c r="B50" s="464">
        <f t="shared" ref="B50:I50" si="3">SUM(B45:B49)</f>
        <v>38141.801000999985</v>
      </c>
      <c r="C50" s="464">
        <f t="shared" si="3"/>
        <v>10786.768204645548</v>
      </c>
      <c r="D50" s="464">
        <f t="shared" si="3"/>
        <v>10649.395586493312</v>
      </c>
      <c r="E50" s="464">
        <f t="shared" si="3"/>
        <v>27465.875331376905</v>
      </c>
      <c r="F50" s="464">
        <f t="shared" si="3"/>
        <v>17252.322298096115</v>
      </c>
      <c r="G50" s="464">
        <f t="shared" si="3"/>
        <v>34992.337</v>
      </c>
      <c r="H50" s="465">
        <f t="shared" si="3"/>
        <v>1</v>
      </c>
      <c r="I50" s="464">
        <f t="shared" si="3"/>
        <v>3149.4369409999858</v>
      </c>
      <c r="J50" s="466"/>
    </row>
    <row r="52" spans="1:10" s="396" customFormat="1" ht="15.75" x14ac:dyDescent="0.25">
      <c r="A52" s="401" t="s">
        <v>80</v>
      </c>
      <c r="B52" s="402"/>
      <c r="C52" s="402"/>
      <c r="D52" s="402"/>
      <c r="E52" s="402"/>
      <c r="F52" s="402"/>
      <c r="G52" s="402"/>
      <c r="H52" s="402"/>
      <c r="I52" s="402"/>
      <c r="J52" s="402"/>
    </row>
    <row r="53" spans="1:10" ht="13.5" thickBot="1" x14ac:dyDescent="0.25"/>
    <row r="54" spans="1:10" ht="27.75" customHeight="1" thickBot="1" x14ac:dyDescent="0.25">
      <c r="A54" s="1"/>
      <c r="B54" s="1"/>
      <c r="C54" s="449" t="s">
        <v>41</v>
      </c>
      <c r="D54" s="450"/>
      <c r="E54" s="450"/>
      <c r="F54" s="451"/>
      <c r="G54" s="1"/>
      <c r="H54" s="1"/>
      <c r="I54" s="1"/>
      <c r="J54" s="1"/>
    </row>
    <row r="55" spans="1:10" ht="26.25" thickBot="1" x14ac:dyDescent="0.25">
      <c r="A55" s="445" t="s">
        <v>51</v>
      </c>
      <c r="B55" s="446" t="s">
        <v>107</v>
      </c>
      <c r="C55" s="447" t="s">
        <v>70</v>
      </c>
      <c r="D55" s="447" t="s">
        <v>42</v>
      </c>
      <c r="E55" s="447" t="s">
        <v>43</v>
      </c>
      <c r="F55" s="447" t="s">
        <v>44</v>
      </c>
      <c r="G55" s="446" t="s">
        <v>45</v>
      </c>
      <c r="H55" s="446" t="s">
        <v>46</v>
      </c>
      <c r="I55" s="446" t="s">
        <v>9</v>
      </c>
      <c r="J55" s="448" t="s">
        <v>47</v>
      </c>
    </row>
    <row r="56" spans="1:10" x14ac:dyDescent="0.2">
      <c r="A56" s="452" t="s">
        <v>40</v>
      </c>
      <c r="B56" s="453">
        <v>20745.277999999998</v>
      </c>
      <c r="C56" s="453">
        <v>8242.1527350738234</v>
      </c>
      <c r="D56" s="453">
        <v>4586.0427017145057</v>
      </c>
      <c r="E56" s="453">
        <v>4969.6828742659527</v>
      </c>
      <c r="F56" s="453">
        <v>0</v>
      </c>
      <c r="G56" s="453">
        <v>2704.0210000000002</v>
      </c>
      <c r="H56" s="454">
        <f>G56/$G$61</f>
        <v>8.7610157009854875E-2</v>
      </c>
      <c r="I56" s="453">
        <v>243.37892894571488</v>
      </c>
      <c r="J56" s="455">
        <f>SUM(B56:B56)/SUM(C56:G56)-1</f>
        <v>1.1871031325106918E-2</v>
      </c>
    </row>
    <row r="57" spans="1:10" x14ac:dyDescent="0.2">
      <c r="A57" s="456" t="s">
        <v>39</v>
      </c>
      <c r="B57" s="457">
        <v>4209.8540000000012</v>
      </c>
      <c r="C57" s="457">
        <v>0</v>
      </c>
      <c r="D57" s="457">
        <v>3756.4282882507209</v>
      </c>
      <c r="E57" s="457">
        <v>7288.2748496912836</v>
      </c>
      <c r="F57" s="457">
        <v>0</v>
      </c>
      <c r="G57" s="457">
        <v>1182.2130000000002</v>
      </c>
      <c r="H57" s="458">
        <f>G57/$G$61</f>
        <v>3.8303647253143211E-2</v>
      </c>
      <c r="I57" s="457">
        <v>225.09059713182057</v>
      </c>
      <c r="J57" s="459">
        <f>SUM(B57:B57,C61)/SUM(C57:G57)-1</f>
        <v>1.8409433302100542E-2</v>
      </c>
    </row>
    <row r="58" spans="1:10" x14ac:dyDescent="0.2">
      <c r="A58" s="456" t="s">
        <v>38</v>
      </c>
      <c r="B58" s="457">
        <v>5414.4539999999934</v>
      </c>
      <c r="C58" s="457">
        <v>0</v>
      </c>
      <c r="D58" s="457">
        <v>0</v>
      </c>
      <c r="E58" s="457">
        <v>10565.482315331132</v>
      </c>
      <c r="F58" s="457">
        <v>4.6871478953961976</v>
      </c>
      <c r="G58" s="457">
        <v>3019.6374586824509</v>
      </c>
      <c r="H58" s="458">
        <f>G58/$G$61</f>
        <v>9.7836115868925808E-2</v>
      </c>
      <c r="I58" s="457">
        <v>167.11806805624255</v>
      </c>
      <c r="J58" s="459">
        <f>SUM(B58:B58,D61)/SUM(C58:G58)-1</f>
        <v>1.2297309963015035E-2</v>
      </c>
    </row>
    <row r="59" spans="1:10" x14ac:dyDescent="0.2">
      <c r="A59" s="456" t="s">
        <v>37</v>
      </c>
      <c r="B59" s="457">
        <v>2071.3980010000018</v>
      </c>
      <c r="C59" s="457">
        <v>0</v>
      </c>
      <c r="D59" s="457">
        <v>0</v>
      </c>
      <c r="E59" s="457">
        <v>0</v>
      </c>
      <c r="F59" s="457">
        <v>14693.22243483929</v>
      </c>
      <c r="G59" s="457">
        <v>9389.5615413175474</v>
      </c>
      <c r="H59" s="458">
        <f>G59/$G$61</f>
        <v>0.30422136547331741</v>
      </c>
      <c r="I59" s="457">
        <v>812.0542041315291</v>
      </c>
      <c r="J59" s="459">
        <f>SUM(B59:B59,E61)/SUM(C59:G59)-1</f>
        <v>3.3719277012803195E-2</v>
      </c>
    </row>
    <row r="60" spans="1:10" ht="13.5" thickBot="1" x14ac:dyDescent="0.25">
      <c r="A60" s="460" t="s">
        <v>50</v>
      </c>
      <c r="B60" s="461">
        <v>1292.0799999999902</v>
      </c>
      <c r="C60" s="461">
        <v>0</v>
      </c>
      <c r="D60" s="461">
        <v>0</v>
      </c>
      <c r="E60" s="461">
        <v>0</v>
      </c>
      <c r="F60" s="461">
        <v>0</v>
      </c>
      <c r="G60" s="461">
        <v>14568.808000000005</v>
      </c>
      <c r="H60" s="462">
        <f>G60/$G$61</f>
        <v>0.47202871439475874</v>
      </c>
      <c r="I60" s="461">
        <v>1421.1574427346766</v>
      </c>
      <c r="J60" s="463">
        <f>SUM(B60:B60,F61)/SUM(C60:G60)-1</f>
        <v>9.7549613031805427E-2</v>
      </c>
    </row>
    <row r="61" spans="1:10" ht="13.5" thickBot="1" x14ac:dyDescent="0.25">
      <c r="A61" s="403" t="s">
        <v>4</v>
      </c>
      <c r="B61" s="464">
        <f t="shared" ref="B61:I61" si="4">SUM(B56:B60)</f>
        <v>33733.064000999984</v>
      </c>
      <c r="C61" s="464">
        <f t="shared" si="4"/>
        <v>8242.1527350738234</v>
      </c>
      <c r="D61" s="464">
        <f t="shared" si="4"/>
        <v>8342.4709899652262</v>
      </c>
      <c r="E61" s="464">
        <f t="shared" si="4"/>
        <v>22823.440039288369</v>
      </c>
      <c r="F61" s="464">
        <f t="shared" si="4"/>
        <v>14697.909582734686</v>
      </c>
      <c r="G61" s="464">
        <f t="shared" si="4"/>
        <v>30864.241000000002</v>
      </c>
      <c r="H61" s="465">
        <f t="shared" si="4"/>
        <v>1</v>
      </c>
      <c r="I61" s="464">
        <f t="shared" si="4"/>
        <v>2868.7992409999833</v>
      </c>
      <c r="J61" s="466"/>
    </row>
    <row r="63" spans="1:10" s="396" customFormat="1" ht="15.75" x14ac:dyDescent="0.25">
      <c r="A63" s="401" t="s">
        <v>81</v>
      </c>
      <c r="B63" s="402"/>
      <c r="C63" s="402"/>
      <c r="D63" s="402"/>
      <c r="E63" s="402"/>
      <c r="F63" s="402"/>
      <c r="G63" s="402"/>
      <c r="H63" s="402"/>
      <c r="I63" s="402"/>
      <c r="J63" s="402"/>
    </row>
    <row r="64" spans="1:10" ht="13.5" thickBot="1" x14ac:dyDescent="0.25"/>
    <row r="65" spans="1:10" ht="27.75" customHeight="1" thickBot="1" x14ac:dyDescent="0.25">
      <c r="A65" s="1"/>
      <c r="B65" s="1"/>
      <c r="C65" s="449" t="s">
        <v>41</v>
      </c>
      <c r="D65" s="450"/>
      <c r="E65" s="450"/>
      <c r="F65" s="451"/>
      <c r="G65" s="1"/>
      <c r="H65" s="1"/>
      <c r="I65" s="1"/>
      <c r="J65" s="1"/>
    </row>
    <row r="66" spans="1:10" ht="26.25" thickBot="1" x14ac:dyDescent="0.25">
      <c r="A66" s="445" t="s">
        <v>51</v>
      </c>
      <c r="B66" s="446" t="s">
        <v>107</v>
      </c>
      <c r="C66" s="447" t="s">
        <v>70</v>
      </c>
      <c r="D66" s="447" t="s">
        <v>42</v>
      </c>
      <c r="E66" s="447" t="s">
        <v>43</v>
      </c>
      <c r="F66" s="447" t="s">
        <v>44</v>
      </c>
      <c r="G66" s="446" t="s">
        <v>45</v>
      </c>
      <c r="H66" s="446" t="s">
        <v>46</v>
      </c>
      <c r="I66" s="446" t="s">
        <v>9</v>
      </c>
      <c r="J66" s="448" t="s">
        <v>47</v>
      </c>
    </row>
    <row r="67" spans="1:10" x14ac:dyDescent="0.2">
      <c r="A67" s="452" t="s">
        <v>40</v>
      </c>
      <c r="B67" s="453">
        <v>25137.069</v>
      </c>
      <c r="C67" s="453">
        <v>10961.678112180074</v>
      </c>
      <c r="D67" s="453">
        <v>5119.2189520034299</v>
      </c>
      <c r="E67" s="453">
        <v>5538.6557067303138</v>
      </c>
      <c r="F67" s="453">
        <v>0</v>
      </c>
      <c r="G67" s="453">
        <v>3084.3770000000004</v>
      </c>
      <c r="H67" s="454">
        <f>G67/$G$72</f>
        <v>9.6983270795573756E-2</v>
      </c>
      <c r="I67" s="453">
        <v>433.13946908618044</v>
      </c>
      <c r="J67" s="455">
        <f>SUM(B67:B67)/SUM(C67:G67)-1</f>
        <v>1.753321164295718E-2</v>
      </c>
    </row>
    <row r="68" spans="1:10" x14ac:dyDescent="0.2">
      <c r="A68" s="456" t="s">
        <v>39</v>
      </c>
      <c r="B68" s="457">
        <v>4101.4629999999988</v>
      </c>
      <c r="C68" s="457">
        <v>0</v>
      </c>
      <c r="D68" s="457">
        <v>4684.9242075536031</v>
      </c>
      <c r="E68" s="457">
        <v>9047.068725416746</v>
      </c>
      <c r="F68" s="457">
        <v>0</v>
      </c>
      <c r="G68" s="457">
        <v>1109.7449999999999</v>
      </c>
      <c r="H68" s="458">
        <f>G68/$G$72</f>
        <v>3.489414551108181E-2</v>
      </c>
      <c r="I68" s="457">
        <v>221.40317920972666</v>
      </c>
      <c r="J68" s="459">
        <f>SUM(B68:B68,C72)/SUM(C68:G68)-1</f>
        <v>1.4917604677406882E-2</v>
      </c>
    </row>
    <row r="69" spans="1:10" x14ac:dyDescent="0.2">
      <c r="A69" s="456" t="s">
        <v>38</v>
      </c>
      <c r="B69" s="457">
        <v>5429.3030000000008</v>
      </c>
      <c r="C69" s="457">
        <v>0</v>
      </c>
      <c r="D69" s="457">
        <v>0</v>
      </c>
      <c r="E69" s="457">
        <v>12679.820352721663</v>
      </c>
      <c r="F69" s="457">
        <v>7.8859066769599071</v>
      </c>
      <c r="G69" s="457">
        <v>2288.8947857637022</v>
      </c>
      <c r="H69" s="458">
        <f>G69/$G$72</f>
        <v>7.1970612811046733E-2</v>
      </c>
      <c r="I69" s="457">
        <v>256.84511439470896</v>
      </c>
      <c r="J69" s="459">
        <f>SUM(B69:B69,D72)/SUM(C69:G69)-1</f>
        <v>1.7149760057050489E-2</v>
      </c>
    </row>
    <row r="70" spans="1:10" x14ac:dyDescent="0.2">
      <c r="A70" s="456" t="s">
        <v>37</v>
      </c>
      <c r="B70" s="457">
        <v>1134.7269990000009</v>
      </c>
      <c r="C70" s="457">
        <v>0</v>
      </c>
      <c r="D70" s="457">
        <v>0</v>
      </c>
      <c r="E70" s="457">
        <v>0</v>
      </c>
      <c r="F70" s="457">
        <v>20655.963636695997</v>
      </c>
      <c r="G70" s="457">
        <v>6789.0232142362984</v>
      </c>
      <c r="H70" s="458">
        <f>G70/$G$72</f>
        <v>0.21346990877694763</v>
      </c>
      <c r="I70" s="457">
        <v>955.28449293641881</v>
      </c>
      <c r="J70" s="459">
        <f>SUM(B70:B70,E72)/SUM(C70:G70)-1</f>
        <v>3.4807265098178775E-2</v>
      </c>
    </row>
    <row r="71" spans="1:10" ht="13.5" thickBot="1" x14ac:dyDescent="0.25">
      <c r="A71" s="460" t="s">
        <v>50</v>
      </c>
      <c r="B71" s="461">
        <v>5.5280000000000218</v>
      </c>
      <c r="C71" s="461">
        <v>0</v>
      </c>
      <c r="D71" s="461">
        <v>0</v>
      </c>
      <c r="E71" s="461">
        <v>0</v>
      </c>
      <c r="F71" s="461">
        <v>0</v>
      </c>
      <c r="G71" s="461">
        <v>18531.146000000001</v>
      </c>
      <c r="H71" s="462">
        <f>G71/$G$72</f>
        <v>0.58268206210535012</v>
      </c>
      <c r="I71" s="461">
        <v>2138.2219833729632</v>
      </c>
      <c r="J71" s="463">
        <f>SUM(B71:B71,F72)/SUM(C71:G71)-1</f>
        <v>0.115385823595203</v>
      </c>
    </row>
    <row r="72" spans="1:10" ht="13.5" thickBot="1" x14ac:dyDescent="0.25">
      <c r="A72" s="403" t="s">
        <v>4</v>
      </c>
      <c r="B72" s="464">
        <f t="shared" ref="B72:I72" si="5">SUM(B67:B71)</f>
        <v>35808.089998999996</v>
      </c>
      <c r="C72" s="464">
        <f t="shared" si="5"/>
        <v>10961.678112180074</v>
      </c>
      <c r="D72" s="464">
        <f t="shared" si="5"/>
        <v>9804.143159557032</v>
      </c>
      <c r="E72" s="464">
        <f t="shared" si="5"/>
        <v>27265.544784868725</v>
      </c>
      <c r="F72" s="464">
        <f t="shared" si="5"/>
        <v>20663.849543372955</v>
      </c>
      <c r="G72" s="464">
        <f t="shared" si="5"/>
        <v>31803.186000000002</v>
      </c>
      <c r="H72" s="465">
        <f t="shared" si="5"/>
        <v>1</v>
      </c>
      <c r="I72" s="464">
        <f t="shared" si="5"/>
        <v>4004.8942389999984</v>
      </c>
      <c r="J72" s="466"/>
    </row>
  </sheetData>
  <pageMargins left="0.7" right="0.7" top="0.75" bottom="0.75" header="0.3" footer="0.3"/>
  <pageSetup paperSize="9" scale="62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84C92-1EAB-4631-AC16-595B99C3A7B4}">
  <sheetPr>
    <pageSetUpPr fitToPage="1"/>
  </sheetPr>
  <dimension ref="A6:J72"/>
  <sheetViews>
    <sheetView showGridLines="0" workbookViewId="0">
      <selection activeCell="F59" sqref="F59"/>
    </sheetView>
  </sheetViews>
  <sheetFormatPr baseColWidth="10" defaultRowHeight="12.75" x14ac:dyDescent="0.2"/>
  <cols>
    <col min="1" max="1" width="21.42578125" customWidth="1"/>
    <col min="11" max="11" width="2.7109375" customWidth="1"/>
  </cols>
  <sheetData>
    <row r="6" spans="1:10" s="4" customFormat="1" ht="30" customHeight="1" x14ac:dyDescent="0.2">
      <c r="A6" s="385" t="s">
        <v>217</v>
      </c>
      <c r="B6" s="385"/>
    </row>
    <row r="7" spans="1:10" ht="5.0999999999999996" customHeight="1" x14ac:dyDescent="0.2"/>
    <row r="8" spans="1:10" s="396" customFormat="1" ht="15.75" x14ac:dyDescent="0.25">
      <c r="A8" s="401" t="s">
        <v>48</v>
      </c>
      <c r="B8" s="402"/>
      <c r="C8" s="402"/>
      <c r="D8" s="402"/>
      <c r="E8" s="402"/>
      <c r="F8" s="402"/>
      <c r="G8" s="402"/>
      <c r="H8" s="402"/>
      <c r="I8" s="402"/>
      <c r="J8" s="402"/>
    </row>
    <row r="9" spans="1:10" ht="13.5" thickBot="1" x14ac:dyDescent="0.25"/>
    <row r="10" spans="1:10" ht="27.75" customHeight="1" thickBot="1" x14ac:dyDescent="0.25">
      <c r="A10" s="1"/>
      <c r="B10" s="1"/>
      <c r="C10" s="449" t="s">
        <v>41</v>
      </c>
      <c r="D10" s="450"/>
      <c r="E10" s="450"/>
      <c r="F10" s="451"/>
      <c r="G10" s="1"/>
      <c r="H10" s="1"/>
      <c r="I10" s="1"/>
      <c r="J10" s="1"/>
    </row>
    <row r="11" spans="1:10" ht="26.25" thickBot="1" x14ac:dyDescent="0.25">
      <c r="A11" s="445" t="s">
        <v>51</v>
      </c>
      <c r="B11" s="446" t="s">
        <v>107</v>
      </c>
      <c r="C11" s="447" t="s">
        <v>70</v>
      </c>
      <c r="D11" s="447" t="s">
        <v>42</v>
      </c>
      <c r="E11" s="447" t="s">
        <v>43</v>
      </c>
      <c r="F11" s="447" t="s">
        <v>44</v>
      </c>
      <c r="G11" s="446" t="s">
        <v>45</v>
      </c>
      <c r="H11" s="446" t="s">
        <v>46</v>
      </c>
      <c r="I11" s="446" t="s">
        <v>9</v>
      </c>
      <c r="J11" s="448" t="s">
        <v>47</v>
      </c>
    </row>
    <row r="12" spans="1:10" x14ac:dyDescent="0.2">
      <c r="A12" s="452" t="s">
        <v>40</v>
      </c>
      <c r="B12" s="453">
        <v>19164702.369068947</v>
      </c>
      <c r="C12" s="453">
        <v>8083536.4196980558</v>
      </c>
      <c r="D12" s="453">
        <v>4472712.8104477888</v>
      </c>
      <c r="E12" s="453">
        <v>4412791.3721429529</v>
      </c>
      <c r="F12" s="453">
        <v>0</v>
      </c>
      <c r="G12" s="453">
        <v>1746361.264</v>
      </c>
      <c r="H12" s="454">
        <f>G12/$G$17</f>
        <v>6.9553855378692409E-2</v>
      </c>
      <c r="I12" s="453">
        <v>449300.5029830141</v>
      </c>
      <c r="J12" s="455">
        <f>SUM(B12:B12)/SUM(C12:G12)-1</f>
        <v>2.4006991994623084E-2</v>
      </c>
    </row>
    <row r="13" spans="1:10" x14ac:dyDescent="0.2">
      <c r="A13" s="456" t="s">
        <v>39</v>
      </c>
      <c r="B13" s="457">
        <v>3162827.9691084977</v>
      </c>
      <c r="C13" s="457">
        <v>0</v>
      </c>
      <c r="D13" s="457">
        <v>3392878.0297836955</v>
      </c>
      <c r="E13" s="457">
        <v>6857094.8026632546</v>
      </c>
      <c r="F13" s="457">
        <v>0</v>
      </c>
      <c r="G13" s="457">
        <v>850082.50299999991</v>
      </c>
      <c r="H13" s="458">
        <f>G13/$G$17</f>
        <v>3.3856978331156376E-2</v>
      </c>
      <c r="I13" s="457">
        <v>146309.05315673491</v>
      </c>
      <c r="J13" s="459">
        <f>SUM(B13:B13,C17)/SUM(C13:G13)-1</f>
        <v>1.3180930088914078E-2</v>
      </c>
    </row>
    <row r="14" spans="1:10" x14ac:dyDescent="0.2">
      <c r="A14" s="456" t="s">
        <v>38</v>
      </c>
      <c r="B14" s="457">
        <v>4002840.38745532</v>
      </c>
      <c r="C14" s="457">
        <v>0</v>
      </c>
      <c r="D14" s="457">
        <v>0</v>
      </c>
      <c r="E14" s="457">
        <v>9497827.876932025</v>
      </c>
      <c r="F14" s="457">
        <v>3030.0652442052246</v>
      </c>
      <c r="G14" s="457">
        <v>2195365.2932669683</v>
      </c>
      <c r="H14" s="458">
        <f>G14/$G$17</f>
        <v>8.7436731024109218E-2</v>
      </c>
      <c r="I14" s="457">
        <v>172207.99224360558</v>
      </c>
      <c r="J14" s="459">
        <f>SUM(B14:B14,D17)/SUM(C14:G14)-1</f>
        <v>1.4723384529953254E-2</v>
      </c>
    </row>
    <row r="15" spans="1:10" x14ac:dyDescent="0.2">
      <c r="A15" s="456" t="s">
        <v>37</v>
      </c>
      <c r="B15" s="457">
        <v>1067593.804598212</v>
      </c>
      <c r="C15" s="457">
        <v>0</v>
      </c>
      <c r="D15" s="457">
        <v>0</v>
      </c>
      <c r="E15" s="457">
        <v>0</v>
      </c>
      <c r="F15" s="457">
        <v>13705575.247059889</v>
      </c>
      <c r="G15" s="457">
        <v>7426941.3817330301</v>
      </c>
      <c r="H15" s="458">
        <f>G15/$G$17</f>
        <v>0.2957992812941167</v>
      </c>
      <c r="I15" s="457">
        <v>702791.22754352412</v>
      </c>
      <c r="J15" s="459">
        <f>SUM(B15:B15,E17)/SUM(C15:G15)-1</f>
        <v>3.3256390608299657E-2</v>
      </c>
    </row>
    <row r="16" spans="1:10" ht="13.5" thickBot="1" x14ac:dyDescent="0.25">
      <c r="A16" s="460" t="s">
        <v>50</v>
      </c>
      <c r="B16" s="461">
        <v>467893.08501209563</v>
      </c>
      <c r="C16" s="461">
        <v>0</v>
      </c>
      <c r="D16" s="461">
        <v>0</v>
      </c>
      <c r="E16" s="461">
        <v>0</v>
      </c>
      <c r="F16" s="461">
        <v>0</v>
      </c>
      <c r="G16" s="461">
        <v>12889293.597999999</v>
      </c>
      <c r="H16" s="462">
        <f>G16/$G$17</f>
        <v>0.51335315397192527</v>
      </c>
      <c r="I16" s="461">
        <v>1287204.7995190597</v>
      </c>
      <c r="J16" s="463">
        <f>SUM(B16:B16,F17)/SUM(C16:G16)-1</f>
        <v>9.986620209473096E-2</v>
      </c>
    </row>
    <row r="17" spans="1:10" ht="13.5" thickBot="1" x14ac:dyDescent="0.25">
      <c r="A17" s="403" t="s">
        <v>4</v>
      </c>
      <c r="B17" s="464">
        <f t="shared" ref="B17:I17" si="0">SUM(B12:B16)</f>
        <v>27865857.615243074</v>
      </c>
      <c r="C17" s="464">
        <f t="shared" si="0"/>
        <v>8083536.4196980558</v>
      </c>
      <c r="D17" s="464">
        <f t="shared" si="0"/>
        <v>7865590.8402314838</v>
      </c>
      <c r="E17" s="464">
        <f t="shared" si="0"/>
        <v>20767714.051738232</v>
      </c>
      <c r="F17" s="464">
        <f t="shared" si="0"/>
        <v>13708605.312304094</v>
      </c>
      <c r="G17" s="464">
        <f t="shared" si="0"/>
        <v>25108044.039999999</v>
      </c>
      <c r="H17" s="465">
        <f>SUM(H12:H16)</f>
        <v>1</v>
      </c>
      <c r="I17" s="464">
        <f t="shared" si="0"/>
        <v>2757813.5754459384</v>
      </c>
      <c r="J17" s="466"/>
    </row>
    <row r="19" spans="1:10" s="396" customFormat="1" ht="15.75" x14ac:dyDescent="0.25">
      <c r="A19" s="401" t="s">
        <v>71</v>
      </c>
      <c r="B19" s="402"/>
      <c r="C19" s="402"/>
      <c r="D19" s="402"/>
      <c r="E19" s="402"/>
      <c r="F19" s="402"/>
      <c r="G19" s="402"/>
      <c r="H19" s="402"/>
      <c r="I19" s="402"/>
      <c r="J19" s="402"/>
    </row>
    <row r="20" spans="1:10" ht="13.5" thickBot="1" x14ac:dyDescent="0.25"/>
    <row r="21" spans="1:10" ht="27.75" customHeight="1" thickBot="1" x14ac:dyDescent="0.25">
      <c r="A21" s="1"/>
      <c r="B21" s="1"/>
      <c r="C21" s="449" t="s">
        <v>41</v>
      </c>
      <c r="D21" s="450"/>
      <c r="E21" s="450"/>
      <c r="F21" s="451"/>
      <c r="G21" s="1"/>
      <c r="H21" s="1"/>
      <c r="I21" s="1"/>
      <c r="J21" s="1"/>
    </row>
    <row r="22" spans="1:10" ht="26.25" thickBot="1" x14ac:dyDescent="0.25">
      <c r="A22" s="445" t="s">
        <v>51</v>
      </c>
      <c r="B22" s="446" t="s">
        <v>107</v>
      </c>
      <c r="C22" s="447" t="s">
        <v>70</v>
      </c>
      <c r="D22" s="447" t="s">
        <v>42</v>
      </c>
      <c r="E22" s="447" t="s">
        <v>43</v>
      </c>
      <c r="F22" s="447" t="s">
        <v>44</v>
      </c>
      <c r="G22" s="446" t="s">
        <v>45</v>
      </c>
      <c r="H22" s="446" t="s">
        <v>46</v>
      </c>
      <c r="I22" s="446" t="s">
        <v>9</v>
      </c>
      <c r="J22" s="448" t="s">
        <v>47</v>
      </c>
    </row>
    <row r="23" spans="1:10" x14ac:dyDescent="0.2">
      <c r="A23" s="452" t="s">
        <v>40</v>
      </c>
      <c r="B23" s="453">
        <v>22178688.297233935</v>
      </c>
      <c r="C23" s="453">
        <v>9258507.0139530227</v>
      </c>
      <c r="D23" s="453">
        <v>5098015.071468004</v>
      </c>
      <c r="E23" s="453">
        <v>5089648.2166547962</v>
      </c>
      <c r="F23" s="453">
        <v>0</v>
      </c>
      <c r="G23" s="453">
        <v>2308637.9908254701</v>
      </c>
      <c r="H23" s="454">
        <f>G23/$G$28</f>
        <v>7.7475044259567319E-2</v>
      </c>
      <c r="I23" s="453">
        <v>423880.00414789288</v>
      </c>
      <c r="J23" s="455">
        <f>SUM(B23:B23)/SUM(C23:G23)-1</f>
        <v>1.9484428390525332E-2</v>
      </c>
    </row>
    <row r="24" spans="1:10" x14ac:dyDescent="0.2">
      <c r="A24" s="456" t="s">
        <v>39</v>
      </c>
      <c r="B24" s="457">
        <v>3896471.7875771732</v>
      </c>
      <c r="C24" s="457">
        <v>0</v>
      </c>
      <c r="D24" s="457">
        <v>3958473.0031803949</v>
      </c>
      <c r="E24" s="457">
        <v>7926729.3625330152</v>
      </c>
      <c r="F24" s="457">
        <v>0</v>
      </c>
      <c r="G24" s="457">
        <v>1095620.0676812606</v>
      </c>
      <c r="H24" s="458">
        <f>G24/$G$28</f>
        <v>3.6767658495009521E-2</v>
      </c>
      <c r="I24" s="457">
        <v>174156.36832027676</v>
      </c>
      <c r="J24" s="459">
        <f>SUM(B24:B24,C28)/SUM(C24:G24)-1</f>
        <v>1.3416435594056697E-2</v>
      </c>
    </row>
    <row r="25" spans="1:10" x14ac:dyDescent="0.2">
      <c r="A25" s="456" t="s">
        <v>38</v>
      </c>
      <c r="B25" s="457">
        <v>4954759.2467335705</v>
      </c>
      <c r="C25" s="457">
        <v>0</v>
      </c>
      <c r="D25" s="457">
        <v>0</v>
      </c>
      <c r="E25" s="457">
        <v>11021568.405992841</v>
      </c>
      <c r="F25" s="457">
        <v>3556.1003438926318</v>
      </c>
      <c r="G25" s="457">
        <v>2777187.5999035775</v>
      </c>
      <c r="H25" s="458">
        <f>G25/$G$28</f>
        <v>9.3198991385703658E-2</v>
      </c>
      <c r="I25" s="457">
        <v>208935.21514165978</v>
      </c>
      <c r="J25" s="459">
        <f>SUM(B25:B25,D28)/SUM(C25:G25)-1</f>
        <v>1.5137696752067553E-2</v>
      </c>
    </row>
    <row r="26" spans="1:10" x14ac:dyDescent="0.2">
      <c r="A26" s="456" t="s">
        <v>37</v>
      </c>
      <c r="B26" s="457">
        <v>1335819.5128431786</v>
      </c>
      <c r="C26" s="457">
        <v>0</v>
      </c>
      <c r="D26" s="457">
        <v>0</v>
      </c>
      <c r="E26" s="457">
        <v>0</v>
      </c>
      <c r="F26" s="457">
        <v>15776050.497559784</v>
      </c>
      <c r="G26" s="457">
        <v>8770225.1794646438</v>
      </c>
      <c r="H26" s="458">
        <f>G26/$G$28</f>
        <v>0.29431794272017692</v>
      </c>
      <c r="I26" s="457">
        <v>827489.82100940612</v>
      </c>
      <c r="J26" s="459">
        <f>SUM(B26:B26,E28)/SUM(C26:G26)-1</f>
        <v>3.3711420497649636E-2</v>
      </c>
    </row>
    <row r="27" spans="1:10" ht="13.5" thickBot="1" x14ac:dyDescent="0.25">
      <c r="A27" s="460" t="s">
        <v>50</v>
      </c>
      <c r="B27" s="461">
        <v>558633.97844565928</v>
      </c>
      <c r="C27" s="461">
        <v>0</v>
      </c>
      <c r="D27" s="461">
        <v>0</v>
      </c>
      <c r="E27" s="461">
        <v>0</v>
      </c>
      <c r="F27" s="461">
        <v>0</v>
      </c>
      <c r="G27" s="461">
        <v>14846801.855999999</v>
      </c>
      <c r="H27" s="462">
        <f>G27/$G$28</f>
        <v>0.49824036313954256</v>
      </c>
      <c r="I27" s="461">
        <v>1491438.720164584</v>
      </c>
      <c r="J27" s="463">
        <f>SUM(B27:B27,F28)/SUM(C27:G27)-1</f>
        <v>0.10045521822240833</v>
      </c>
    </row>
    <row r="28" spans="1:10" ht="13.5" thickBot="1" x14ac:dyDescent="0.25">
      <c r="A28" s="403" t="s">
        <v>4</v>
      </c>
      <c r="B28" s="464">
        <f t="shared" ref="B28:I28" si="1">SUM(B23:B27)</f>
        <v>32924372.822833519</v>
      </c>
      <c r="C28" s="464">
        <f t="shared" si="1"/>
        <v>9258507.0139530227</v>
      </c>
      <c r="D28" s="464">
        <f t="shared" si="1"/>
        <v>9056488.0746483989</v>
      </c>
      <c r="E28" s="464">
        <f t="shared" si="1"/>
        <v>24037945.985180654</v>
      </c>
      <c r="F28" s="464">
        <f t="shared" si="1"/>
        <v>15779606.597903676</v>
      </c>
      <c r="G28" s="464">
        <f t="shared" si="1"/>
        <v>29798472.693874951</v>
      </c>
      <c r="H28" s="465">
        <f t="shared" si="1"/>
        <v>1</v>
      </c>
      <c r="I28" s="464">
        <f t="shared" si="1"/>
        <v>3125900.1287838193</v>
      </c>
      <c r="J28" s="466"/>
    </row>
    <row r="30" spans="1:10" s="396" customFormat="1" ht="15.75" x14ac:dyDescent="0.25">
      <c r="A30" s="401" t="s">
        <v>72</v>
      </c>
      <c r="B30" s="402"/>
      <c r="C30" s="402"/>
      <c r="D30" s="402"/>
      <c r="E30" s="402"/>
      <c r="F30" s="402"/>
      <c r="G30" s="402"/>
      <c r="H30" s="402"/>
      <c r="I30" s="402"/>
      <c r="J30" s="402"/>
    </row>
    <row r="31" spans="1:10" ht="13.5" thickBot="1" x14ac:dyDescent="0.25"/>
    <row r="32" spans="1:10" ht="27.75" customHeight="1" thickBot="1" x14ac:dyDescent="0.25">
      <c r="A32" s="1"/>
      <c r="B32" s="1"/>
      <c r="C32" s="449" t="s">
        <v>41</v>
      </c>
      <c r="D32" s="450"/>
      <c r="E32" s="450"/>
      <c r="F32" s="451"/>
      <c r="G32" s="1"/>
      <c r="H32" s="1"/>
      <c r="I32" s="1"/>
      <c r="J32" s="1"/>
    </row>
    <row r="33" spans="1:10" ht="26.25" thickBot="1" x14ac:dyDescent="0.25">
      <c r="A33" s="445" t="s">
        <v>51</v>
      </c>
      <c r="B33" s="446" t="s">
        <v>107</v>
      </c>
      <c r="C33" s="447" t="s">
        <v>70</v>
      </c>
      <c r="D33" s="447" t="s">
        <v>42</v>
      </c>
      <c r="E33" s="447" t="s">
        <v>43</v>
      </c>
      <c r="F33" s="447" t="s">
        <v>44</v>
      </c>
      <c r="G33" s="446" t="s">
        <v>45</v>
      </c>
      <c r="H33" s="446" t="s">
        <v>46</v>
      </c>
      <c r="I33" s="446" t="s">
        <v>9</v>
      </c>
      <c r="J33" s="448" t="s">
        <v>47</v>
      </c>
    </row>
    <row r="34" spans="1:10" x14ac:dyDescent="0.2">
      <c r="A34" s="452" t="s">
        <v>40</v>
      </c>
      <c r="B34" s="453">
        <v>20603675.730342526</v>
      </c>
      <c r="C34" s="453">
        <v>8745493.5128544774</v>
      </c>
      <c r="D34" s="453">
        <v>4638963.4416736159</v>
      </c>
      <c r="E34" s="453">
        <v>4615330.8043744909</v>
      </c>
      <c r="F34" s="453">
        <v>0</v>
      </c>
      <c r="G34" s="453">
        <v>2150508.9257422159</v>
      </c>
      <c r="H34" s="454">
        <f>G34/$G$39</f>
        <v>7.8103186942484776E-2</v>
      </c>
      <c r="I34" s="453">
        <v>453379.06526237854</v>
      </c>
      <c r="J34" s="455">
        <f>SUM(B34:B34)/SUM(C34:G34)-1</f>
        <v>2.2499869495381519E-2</v>
      </c>
    </row>
    <row r="35" spans="1:10" x14ac:dyDescent="0.2">
      <c r="A35" s="456" t="s">
        <v>39</v>
      </c>
      <c r="B35" s="457">
        <v>3224548.2139406311</v>
      </c>
      <c r="C35" s="457">
        <v>0</v>
      </c>
      <c r="D35" s="457">
        <v>3613031.1714152484</v>
      </c>
      <c r="E35" s="457">
        <v>7104678.4590405412</v>
      </c>
      <c r="F35" s="457">
        <v>0</v>
      </c>
      <c r="G35" s="457">
        <v>1113279.4812449894</v>
      </c>
      <c r="H35" s="458">
        <f>G35/$G$39</f>
        <v>4.0432603837205726E-2</v>
      </c>
      <c r="I35" s="457">
        <v>139052.61552967635</v>
      </c>
      <c r="J35" s="459">
        <f>SUM(B35:B35,C39)/SUM(C35:G35)-1</f>
        <v>1.1753253576812783E-2</v>
      </c>
    </row>
    <row r="36" spans="1:10" x14ac:dyDescent="0.2">
      <c r="A36" s="456" t="s">
        <v>38</v>
      </c>
      <c r="B36" s="457">
        <v>4267214.7220969405</v>
      </c>
      <c r="C36" s="457">
        <v>0</v>
      </c>
      <c r="D36" s="457">
        <v>0</v>
      </c>
      <c r="E36" s="457">
        <v>9560668.7778366283</v>
      </c>
      <c r="F36" s="457">
        <v>2980.4481027317665</v>
      </c>
      <c r="G36" s="457">
        <v>2788269.3200928257</v>
      </c>
      <c r="H36" s="458">
        <f>G36/$G$39</f>
        <v>0.10126566662728168</v>
      </c>
      <c r="I36" s="457">
        <v>167290.78915361871</v>
      </c>
      <c r="J36" s="459">
        <f>SUM(B36:B36,D39)/SUM(C36:G36)-1</f>
        <v>1.3543708900781271E-2</v>
      </c>
    </row>
    <row r="37" spans="1:10" x14ac:dyDescent="0.2">
      <c r="A37" s="456" t="s">
        <v>37</v>
      </c>
      <c r="B37" s="457">
        <v>1230507.0502631168</v>
      </c>
      <c r="C37" s="457">
        <v>0</v>
      </c>
      <c r="D37" s="457">
        <v>0</v>
      </c>
      <c r="E37" s="457">
        <v>0</v>
      </c>
      <c r="F37" s="457">
        <v>13188175.031785201</v>
      </c>
      <c r="G37" s="457">
        <v>8663143.6621068213</v>
      </c>
      <c r="H37" s="458">
        <f>G37/$G$39</f>
        <v>0.3146320951528282</v>
      </c>
      <c r="I37" s="457">
        <v>659866.3974027544</v>
      </c>
      <c r="J37" s="459">
        <f>SUM(B37:B37,E39)/SUM(C37:G37)-1</f>
        <v>3.0198012617298042E-2</v>
      </c>
    </row>
    <row r="38" spans="1:10" ht="13.5" thickBot="1" x14ac:dyDescent="0.25">
      <c r="A38" s="460" t="s">
        <v>50</v>
      </c>
      <c r="B38" s="461">
        <v>655585.1247992306</v>
      </c>
      <c r="C38" s="461">
        <v>0</v>
      </c>
      <c r="D38" s="461">
        <v>0</v>
      </c>
      <c r="E38" s="461">
        <v>0</v>
      </c>
      <c r="F38" s="461">
        <v>0</v>
      </c>
      <c r="G38" s="461">
        <v>12819000.606000001</v>
      </c>
      <c r="H38" s="462">
        <f>G38/$G$39</f>
        <v>0.4655664474401997</v>
      </c>
      <c r="I38" s="461">
        <v>1027739.9982518167</v>
      </c>
      <c r="J38" s="463">
        <f>SUM(B38:B38,F39)/SUM(C38:G38)-1</f>
        <v>8.0173176542805091E-2</v>
      </c>
    </row>
    <row r="39" spans="1:10" ht="13.5" thickBot="1" x14ac:dyDescent="0.25">
      <c r="A39" s="403" t="s">
        <v>4</v>
      </c>
      <c r="B39" s="464">
        <f t="shared" ref="B39:I39" si="2">SUM(B34:B38)</f>
        <v>29981530.841442447</v>
      </c>
      <c r="C39" s="464">
        <f t="shared" si="2"/>
        <v>8745493.5128544774</v>
      </c>
      <c r="D39" s="464">
        <f t="shared" si="2"/>
        <v>8251994.6130888648</v>
      </c>
      <c r="E39" s="464">
        <f t="shared" si="2"/>
        <v>21280678.041251659</v>
      </c>
      <c r="F39" s="464">
        <f t="shared" si="2"/>
        <v>13191155.479887933</v>
      </c>
      <c r="G39" s="464">
        <f t="shared" si="2"/>
        <v>27534201.99518685</v>
      </c>
      <c r="H39" s="465">
        <f t="shared" si="2"/>
        <v>1</v>
      </c>
      <c r="I39" s="464">
        <f t="shared" si="2"/>
        <v>2447328.8656002446</v>
      </c>
      <c r="J39" s="466"/>
    </row>
    <row r="41" spans="1:10" s="396" customFormat="1" ht="15.75" x14ac:dyDescent="0.25">
      <c r="A41" s="401" t="s">
        <v>73</v>
      </c>
      <c r="B41" s="402"/>
      <c r="C41" s="402"/>
      <c r="D41" s="402"/>
      <c r="E41" s="402"/>
      <c r="F41" s="402"/>
      <c r="G41" s="402"/>
      <c r="H41" s="402"/>
      <c r="I41" s="402"/>
      <c r="J41" s="402"/>
    </row>
    <row r="42" spans="1:10" ht="13.5" thickBot="1" x14ac:dyDescent="0.25"/>
    <row r="43" spans="1:10" ht="27.75" customHeight="1" thickBot="1" x14ac:dyDescent="0.25">
      <c r="A43" s="1"/>
      <c r="B43" s="1"/>
      <c r="C43" s="449" t="s">
        <v>41</v>
      </c>
      <c r="D43" s="450"/>
      <c r="E43" s="450"/>
      <c r="F43" s="451"/>
      <c r="G43" s="1"/>
      <c r="H43" s="1"/>
      <c r="I43" s="1"/>
      <c r="J43" s="1"/>
    </row>
    <row r="44" spans="1:10" ht="26.25" thickBot="1" x14ac:dyDescent="0.25">
      <c r="A44" s="445" t="s">
        <v>51</v>
      </c>
      <c r="B44" s="446" t="s">
        <v>107</v>
      </c>
      <c r="C44" s="447" t="s">
        <v>70</v>
      </c>
      <c r="D44" s="447" t="s">
        <v>42</v>
      </c>
      <c r="E44" s="447" t="s">
        <v>43</v>
      </c>
      <c r="F44" s="447" t="s">
        <v>44</v>
      </c>
      <c r="G44" s="446" t="s">
        <v>45</v>
      </c>
      <c r="H44" s="446" t="s">
        <v>46</v>
      </c>
      <c r="I44" s="446" t="s">
        <v>9</v>
      </c>
      <c r="J44" s="448" t="s">
        <v>47</v>
      </c>
    </row>
    <row r="45" spans="1:10" x14ac:dyDescent="0.2">
      <c r="A45" s="452" t="s">
        <v>40</v>
      </c>
      <c r="B45" s="453">
        <v>18262261.878316734</v>
      </c>
      <c r="C45" s="453">
        <v>7230558.298384266</v>
      </c>
      <c r="D45" s="453">
        <v>4199370.1221878864</v>
      </c>
      <c r="E45" s="453">
        <v>4118990.4303639345</v>
      </c>
      <c r="F45" s="453">
        <v>0</v>
      </c>
      <c r="G45" s="453">
        <v>2370883.557</v>
      </c>
      <c r="H45" s="454">
        <f>G45/$G$50</f>
        <v>9.4465765968498705E-2</v>
      </c>
      <c r="I45" s="453">
        <v>342459.47025265638</v>
      </c>
      <c r="J45" s="455">
        <f>SUM(B45:B45)/SUM(C45:G45)-1</f>
        <v>1.9110672237601323E-2</v>
      </c>
    </row>
    <row r="46" spans="1:10" x14ac:dyDescent="0.2">
      <c r="A46" s="456" t="s">
        <v>39</v>
      </c>
      <c r="B46" s="457">
        <v>3090020.2031379654</v>
      </c>
      <c r="C46" s="457">
        <v>0</v>
      </c>
      <c r="D46" s="457">
        <v>2989414.6011319049</v>
      </c>
      <c r="E46" s="457">
        <v>6233827.6047291253</v>
      </c>
      <c r="F46" s="457">
        <v>0</v>
      </c>
      <c r="G46" s="457">
        <v>980791.27599999984</v>
      </c>
      <c r="H46" s="458">
        <f>G46/$G$50</f>
        <v>3.9078764062034956E-2</v>
      </c>
      <c r="I46" s="457">
        <v>116545.01978919662</v>
      </c>
      <c r="J46" s="459">
        <f>SUM(B46:B46,C50)/SUM(C46:G46)-1</f>
        <v>1.1421465822154975E-2</v>
      </c>
    </row>
    <row r="47" spans="1:10" x14ac:dyDescent="0.2">
      <c r="A47" s="456" t="s">
        <v>38</v>
      </c>
      <c r="B47" s="457">
        <v>4281523.5610826984</v>
      </c>
      <c r="C47" s="457">
        <v>0</v>
      </c>
      <c r="D47" s="457">
        <v>0</v>
      </c>
      <c r="E47" s="457">
        <v>9108270.8548720405</v>
      </c>
      <c r="F47" s="457">
        <v>3508.9967311839641</v>
      </c>
      <c r="G47" s="457">
        <v>2209544.9411062733</v>
      </c>
      <c r="H47" s="458">
        <f>G47/$G$50</f>
        <v>8.8037370999163533E-2</v>
      </c>
      <c r="I47" s="457">
        <v>148983.49169298995</v>
      </c>
      <c r="J47" s="459">
        <f>SUM(B47:B47,D50)/SUM(C47:G47)-1</f>
        <v>1.315954576172329E-2</v>
      </c>
    </row>
    <row r="48" spans="1:10" x14ac:dyDescent="0.2">
      <c r="A48" s="456" t="s">
        <v>37</v>
      </c>
      <c r="B48" s="457">
        <v>1174082.3847759359</v>
      </c>
      <c r="C48" s="457">
        <v>0</v>
      </c>
      <c r="D48" s="457">
        <v>0</v>
      </c>
      <c r="E48" s="457">
        <v>0</v>
      </c>
      <c r="F48" s="457">
        <v>12123620.625101065</v>
      </c>
      <c r="G48" s="457">
        <v>7868525.0088937255</v>
      </c>
      <c r="H48" s="458">
        <f>G48/$G$50</f>
        <v>0.31351444477854373</v>
      </c>
      <c r="I48" s="457">
        <v>643025.64155624434</v>
      </c>
      <c r="J48" s="459">
        <f>SUM(B48:B48,E50)/SUM(C48:G48)-1</f>
        <v>3.2163913394710475E-2</v>
      </c>
    </row>
    <row r="49" spans="1:10" ht="13.5" thickBot="1" x14ac:dyDescent="0.25">
      <c r="A49" s="460" t="s">
        <v>50</v>
      </c>
      <c r="B49" s="461">
        <v>489274.23593264102</v>
      </c>
      <c r="C49" s="461">
        <v>0</v>
      </c>
      <c r="D49" s="461">
        <v>0</v>
      </c>
      <c r="E49" s="461">
        <v>0</v>
      </c>
      <c r="F49" s="461">
        <v>0</v>
      </c>
      <c r="G49" s="461">
        <v>11668062.16</v>
      </c>
      <c r="H49" s="462">
        <f>G49/$G$50</f>
        <v>0.464903654191759</v>
      </c>
      <c r="I49" s="461">
        <v>948341.69763690268</v>
      </c>
      <c r="J49" s="463">
        <f>SUM(B49:B49,F50)/SUM(C49:G49)-1</f>
        <v>8.1276709427891003E-2</v>
      </c>
    </row>
    <row r="50" spans="1:10" ht="13.5" thickBot="1" x14ac:dyDescent="0.25">
      <c r="A50" s="403" t="s">
        <v>4</v>
      </c>
      <c r="B50" s="464">
        <f t="shared" ref="B50:I50" si="3">SUM(B45:B49)</f>
        <v>27297162.263245974</v>
      </c>
      <c r="C50" s="464">
        <f t="shared" si="3"/>
        <v>7230558.298384266</v>
      </c>
      <c r="D50" s="464">
        <f t="shared" si="3"/>
        <v>7188784.7233197913</v>
      </c>
      <c r="E50" s="464">
        <f t="shared" si="3"/>
        <v>19461088.889965102</v>
      </c>
      <c r="F50" s="464">
        <f t="shared" si="3"/>
        <v>12127129.62183225</v>
      </c>
      <c r="G50" s="464">
        <f t="shared" si="3"/>
        <v>25097806.943</v>
      </c>
      <c r="H50" s="465">
        <f t="shared" si="3"/>
        <v>1</v>
      </c>
      <c r="I50" s="464">
        <f t="shared" si="3"/>
        <v>2199355.3209279901</v>
      </c>
      <c r="J50" s="466"/>
    </row>
    <row r="52" spans="1:10" s="396" customFormat="1" ht="15.75" x14ac:dyDescent="0.25">
      <c r="A52" s="401" t="s">
        <v>74</v>
      </c>
      <c r="B52" s="402"/>
      <c r="C52" s="402"/>
      <c r="D52" s="402"/>
      <c r="E52" s="402"/>
      <c r="F52" s="402"/>
      <c r="G52" s="402"/>
      <c r="H52" s="402"/>
      <c r="I52" s="402"/>
      <c r="J52" s="402"/>
    </row>
    <row r="53" spans="1:10" ht="13.5" thickBot="1" x14ac:dyDescent="0.25"/>
    <row r="54" spans="1:10" ht="27.75" customHeight="1" thickBot="1" x14ac:dyDescent="0.25">
      <c r="A54" s="1"/>
      <c r="B54" s="1"/>
      <c r="C54" s="449" t="s">
        <v>41</v>
      </c>
      <c r="D54" s="450"/>
      <c r="E54" s="450"/>
      <c r="F54" s="451"/>
      <c r="G54" s="1"/>
      <c r="H54" s="1"/>
      <c r="I54" s="1"/>
      <c r="J54" s="1"/>
    </row>
    <row r="55" spans="1:10" ht="26.25" thickBot="1" x14ac:dyDescent="0.25">
      <c r="A55" s="445" t="s">
        <v>51</v>
      </c>
      <c r="B55" s="446" t="s">
        <v>107</v>
      </c>
      <c r="C55" s="447" t="s">
        <v>70</v>
      </c>
      <c r="D55" s="447" t="s">
        <v>42</v>
      </c>
      <c r="E55" s="447" t="s">
        <v>43</v>
      </c>
      <c r="F55" s="447" t="s">
        <v>44</v>
      </c>
      <c r="G55" s="446" t="s">
        <v>45</v>
      </c>
      <c r="H55" s="446" t="s">
        <v>46</v>
      </c>
      <c r="I55" s="446" t="s">
        <v>9</v>
      </c>
      <c r="J55" s="448" t="s">
        <v>47</v>
      </c>
    </row>
    <row r="56" spans="1:10" x14ac:dyDescent="0.2">
      <c r="A56" s="452" t="s">
        <v>40</v>
      </c>
      <c r="B56" s="453">
        <v>12057864.936321622</v>
      </c>
      <c r="C56" s="453">
        <v>5218414.1179117067</v>
      </c>
      <c r="D56" s="453">
        <v>2615220.2107247417</v>
      </c>
      <c r="E56" s="453">
        <v>2576270.5141544621</v>
      </c>
      <c r="F56" s="453">
        <v>0</v>
      </c>
      <c r="G56" s="453">
        <v>1314861.754</v>
      </c>
      <c r="H56" s="454">
        <f>G56/$G$61</f>
        <v>8.2727260293199281E-2</v>
      </c>
      <c r="I56" s="453">
        <v>333098.33960523846</v>
      </c>
      <c r="J56" s="455">
        <f>SUM(B56:B56)/SUM(C56:G56)-1</f>
        <v>2.840980558383821E-2</v>
      </c>
    </row>
    <row r="57" spans="1:10" x14ac:dyDescent="0.2">
      <c r="A57" s="456" t="s">
        <v>39</v>
      </c>
      <c r="B57" s="457">
        <v>1661105.74467362</v>
      </c>
      <c r="C57" s="457">
        <v>0</v>
      </c>
      <c r="D57" s="457">
        <v>2111088.0868463763</v>
      </c>
      <c r="E57" s="457">
        <v>3983349.7311110566</v>
      </c>
      <c r="F57" s="457">
        <v>0</v>
      </c>
      <c r="G57" s="457">
        <v>706006.30399999989</v>
      </c>
      <c r="H57" s="458">
        <f>G57/$G$61</f>
        <v>4.4419854104028926E-2</v>
      </c>
      <c r="I57" s="457">
        <v>79075.740553365904</v>
      </c>
      <c r="J57" s="459">
        <f>SUM(B57:B57,C61)/SUM(C57:G57)-1</f>
        <v>1.1628025936213815E-2</v>
      </c>
    </row>
    <row r="58" spans="1:10" x14ac:dyDescent="0.2">
      <c r="A58" s="456" t="s">
        <v>38</v>
      </c>
      <c r="B58" s="457">
        <v>2374616.2040078351</v>
      </c>
      <c r="C58" s="457">
        <v>0</v>
      </c>
      <c r="D58" s="457">
        <v>0</v>
      </c>
      <c r="E58" s="457">
        <v>5195139.6701834137</v>
      </c>
      <c r="F58" s="457">
        <v>1470.0069012334698</v>
      </c>
      <c r="G58" s="457">
        <v>1812430.6559928125</v>
      </c>
      <c r="H58" s="458">
        <f>G58/$G$61</f>
        <v>0.11403284199693234</v>
      </c>
      <c r="I58" s="457">
        <v>91884.168501493346</v>
      </c>
      <c r="J58" s="459">
        <f>SUM(B58:B58,D61)/SUM(C58:G58)-1</f>
        <v>1.3109379335123572E-2</v>
      </c>
    </row>
    <row r="59" spans="1:10" x14ac:dyDescent="0.2">
      <c r="A59" s="456" t="s">
        <v>37</v>
      </c>
      <c r="B59" s="457">
        <v>751832.46316967707</v>
      </c>
      <c r="C59" s="457">
        <v>0</v>
      </c>
      <c r="D59" s="457">
        <v>0</v>
      </c>
      <c r="E59" s="457">
        <v>0</v>
      </c>
      <c r="F59" s="457">
        <v>7091742.1314922553</v>
      </c>
      <c r="G59" s="457">
        <v>5054881.6960071875</v>
      </c>
      <c r="H59" s="458">
        <f>G59/$G$61</f>
        <v>0.31803838886085301</v>
      </c>
      <c r="I59" s="457">
        <v>359968.55111916584</v>
      </c>
      <c r="J59" s="459">
        <f>SUM(B59:B59,E61)/SUM(C59:G59)-1</f>
        <v>2.963527612538841E-2</v>
      </c>
    </row>
    <row r="60" spans="1:10" ht="13.5" thickBot="1" x14ac:dyDescent="0.25">
      <c r="A60" s="460" t="s">
        <v>50</v>
      </c>
      <c r="B60" s="461">
        <v>439613.23390698776</v>
      </c>
      <c r="C60" s="461">
        <v>0</v>
      </c>
      <c r="D60" s="461">
        <v>0</v>
      </c>
      <c r="E60" s="461">
        <v>0</v>
      </c>
      <c r="F60" s="461">
        <v>0</v>
      </c>
      <c r="G60" s="461">
        <v>7005755.2689999994</v>
      </c>
      <c r="H60" s="462">
        <f>G60/$G$61</f>
        <v>0.44078165474498643</v>
      </c>
      <c r="I60" s="461">
        <v>527070.10337500449</v>
      </c>
      <c r="J60" s="463">
        <f>SUM(B60:B60,F61)/SUM(C60:G60)-1</f>
        <v>7.5233873160361009E-2</v>
      </c>
    </row>
    <row r="61" spans="1:10" ht="13.5" thickBot="1" x14ac:dyDescent="0.25">
      <c r="A61" s="403" t="s">
        <v>4</v>
      </c>
      <c r="B61" s="464">
        <f t="shared" ref="B61:I61" si="4">SUM(B56:B60)</f>
        <v>17285032.582079738</v>
      </c>
      <c r="C61" s="464">
        <f t="shared" si="4"/>
        <v>5218414.1179117067</v>
      </c>
      <c r="D61" s="464">
        <f t="shared" si="4"/>
        <v>4726308.297571118</v>
      </c>
      <c r="E61" s="464">
        <f t="shared" si="4"/>
        <v>11754759.915448934</v>
      </c>
      <c r="F61" s="464">
        <f t="shared" si="4"/>
        <v>7093212.1383934887</v>
      </c>
      <c r="G61" s="464">
        <f t="shared" si="4"/>
        <v>15893935.679</v>
      </c>
      <c r="H61" s="465">
        <f t="shared" si="4"/>
        <v>1</v>
      </c>
      <c r="I61" s="464">
        <f t="shared" si="4"/>
        <v>1391096.9031542679</v>
      </c>
      <c r="J61" s="466"/>
    </row>
    <row r="63" spans="1:10" s="396" customFormat="1" ht="15.75" x14ac:dyDescent="0.25">
      <c r="A63" s="401" t="s">
        <v>75</v>
      </c>
      <c r="B63" s="402"/>
      <c r="C63" s="402"/>
      <c r="D63" s="402"/>
      <c r="E63" s="402"/>
      <c r="F63" s="402"/>
      <c r="G63" s="402"/>
      <c r="H63" s="402"/>
      <c r="I63" s="402"/>
      <c r="J63" s="402"/>
    </row>
    <row r="64" spans="1:10" ht="13.5" thickBot="1" x14ac:dyDescent="0.25"/>
    <row r="65" spans="1:10" ht="27.75" customHeight="1" thickBot="1" x14ac:dyDescent="0.25">
      <c r="A65" s="1"/>
      <c r="B65" s="1"/>
      <c r="C65" s="449" t="s">
        <v>41</v>
      </c>
      <c r="D65" s="450"/>
      <c r="E65" s="450"/>
      <c r="F65" s="451"/>
      <c r="G65" s="1"/>
      <c r="H65" s="1"/>
      <c r="I65" s="1"/>
      <c r="J65" s="1"/>
    </row>
    <row r="66" spans="1:10" ht="26.25" thickBot="1" x14ac:dyDescent="0.25">
      <c r="A66" s="445" t="s">
        <v>51</v>
      </c>
      <c r="B66" s="446" t="s">
        <v>107</v>
      </c>
      <c r="C66" s="447" t="s">
        <v>70</v>
      </c>
      <c r="D66" s="447" t="s">
        <v>42</v>
      </c>
      <c r="E66" s="447" t="s">
        <v>43</v>
      </c>
      <c r="F66" s="447" t="s">
        <v>44</v>
      </c>
      <c r="G66" s="446" t="s">
        <v>45</v>
      </c>
      <c r="H66" s="446" t="s">
        <v>46</v>
      </c>
      <c r="I66" s="446" t="s">
        <v>9</v>
      </c>
      <c r="J66" s="448" t="s">
        <v>47</v>
      </c>
    </row>
    <row r="67" spans="1:10" x14ac:dyDescent="0.2">
      <c r="A67" s="452" t="s">
        <v>40</v>
      </c>
      <c r="B67" s="453">
        <v>81744063.750720754</v>
      </c>
      <c r="C67" s="453">
        <v>33117096.406580623</v>
      </c>
      <c r="D67" s="453">
        <v>16902578.299664509</v>
      </c>
      <c r="E67" s="453">
        <v>16824353.79214967</v>
      </c>
      <c r="F67" s="453">
        <v>0</v>
      </c>
      <c r="G67" s="453">
        <v>12783555.533432316</v>
      </c>
      <c r="H67" s="454">
        <f>G67/$G$72</f>
        <v>0.11589903270761237</v>
      </c>
      <c r="I67" s="453">
        <v>2116479.7193598216</v>
      </c>
      <c r="J67" s="455">
        <f>SUM(B67:B67)/SUM(C67:G67)-1</f>
        <v>2.6579730436725013E-2</v>
      </c>
    </row>
    <row r="68" spans="1:10" x14ac:dyDescent="0.2">
      <c r="A68" s="456" t="s">
        <v>39</v>
      </c>
      <c r="B68" s="457">
        <v>14503285.724557605</v>
      </c>
      <c r="C68" s="457">
        <v>0</v>
      </c>
      <c r="D68" s="457">
        <v>14260401.838586159</v>
      </c>
      <c r="E68" s="457">
        <v>27104401.092757002</v>
      </c>
      <c r="F68" s="457">
        <v>0</v>
      </c>
      <c r="G68" s="457">
        <v>5625432.0990737509</v>
      </c>
      <c r="H68" s="458">
        <f>G68/$G$72</f>
        <v>5.1001627609775592E-2</v>
      </c>
      <c r="I68" s="457">
        <v>630147.10025513859</v>
      </c>
      <c r="J68" s="459">
        <f>SUM(B68:B68,C72)/SUM(C68:G68)-1</f>
        <v>1.3410171290129114E-2</v>
      </c>
    </row>
    <row r="69" spans="1:10" x14ac:dyDescent="0.2">
      <c r="A69" s="456" t="s">
        <v>38</v>
      </c>
      <c r="B69" s="457">
        <v>19227808.222123664</v>
      </c>
      <c r="C69" s="457">
        <v>0</v>
      </c>
      <c r="D69" s="457">
        <v>0</v>
      </c>
      <c r="E69" s="457">
        <v>37757279.6484413</v>
      </c>
      <c r="F69" s="457">
        <v>11988.368785119961</v>
      </c>
      <c r="G69" s="457">
        <v>11828634.283334648</v>
      </c>
      <c r="H69" s="458">
        <f>G69/$G$72</f>
        <v>0.10724146878427185</v>
      </c>
      <c r="I69" s="457">
        <v>792886.05981324217</v>
      </c>
      <c r="J69" s="459">
        <f>SUM(B69:B69,D72)/SUM(C69:G69)-1</f>
        <v>1.5986282141700503E-2</v>
      </c>
    </row>
    <row r="70" spans="1:10" x14ac:dyDescent="0.2">
      <c r="A70" s="456" t="s">
        <v>37</v>
      </c>
      <c r="B70" s="457">
        <v>4862784.2444378939</v>
      </c>
      <c r="C70" s="457">
        <v>0</v>
      </c>
      <c r="D70" s="457">
        <v>0</v>
      </c>
      <c r="E70" s="457">
        <v>0</v>
      </c>
      <c r="F70" s="457">
        <v>51814120.210995883</v>
      </c>
      <c r="G70" s="457">
        <v>31729118.030688956</v>
      </c>
      <c r="H70" s="458">
        <f>G70/$G$72</f>
        <v>0.28766442002815451</v>
      </c>
      <c r="I70" s="457">
        <v>3005580.5357610304</v>
      </c>
      <c r="J70" s="459">
        <f>SUM(B70:B70,E72)/SUM(C70:G70)-1</f>
        <v>3.5976347091144278E-2</v>
      </c>
    </row>
    <row r="71" spans="1:10" ht="13.5" thickBot="1" x14ac:dyDescent="0.25">
      <c r="A71" s="460" t="s">
        <v>50</v>
      </c>
      <c r="B71" s="461">
        <v>1527952.8501003888</v>
      </c>
      <c r="C71" s="461">
        <v>0</v>
      </c>
      <c r="D71" s="461">
        <v>0</v>
      </c>
      <c r="E71" s="461">
        <v>0</v>
      </c>
      <c r="F71" s="461">
        <v>0</v>
      </c>
      <c r="G71" s="461">
        <v>48332330.155999996</v>
      </c>
      <c r="H71" s="462">
        <f>G71/$G$72</f>
        <v>0.43819345087018563</v>
      </c>
      <c r="I71" s="461">
        <v>5021731.2743475577</v>
      </c>
      <c r="J71" s="463">
        <f>SUM(B71:B71,F72)/SUM(C71:G71)-1</f>
        <v>0.10390004491140803</v>
      </c>
    </row>
    <row r="72" spans="1:10" ht="13.5" thickBot="1" x14ac:dyDescent="0.25">
      <c r="A72" s="403" t="s">
        <v>4</v>
      </c>
      <c r="B72" s="464">
        <f t="shared" ref="B72:I72" si="5">SUM(B67:B71)</f>
        <v>121865894.7919403</v>
      </c>
      <c r="C72" s="464">
        <f t="shared" si="5"/>
        <v>33117096.406580623</v>
      </c>
      <c r="D72" s="464">
        <f t="shared" si="5"/>
        <v>31162980.138250668</v>
      </c>
      <c r="E72" s="464">
        <f t="shared" si="5"/>
        <v>81686034.533347964</v>
      </c>
      <c r="F72" s="464">
        <f t="shared" si="5"/>
        <v>51826108.579781003</v>
      </c>
      <c r="G72" s="464">
        <f t="shared" si="5"/>
        <v>110299070.10252967</v>
      </c>
      <c r="H72" s="465">
        <f t="shared" si="5"/>
        <v>1</v>
      </c>
      <c r="I72" s="464">
        <f t="shared" si="5"/>
        <v>11566824.689536791</v>
      </c>
      <c r="J72" s="466"/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74F8A-50A0-4A8E-AF10-0D1B56E46D27}">
  <dimension ref="A1:P23"/>
  <sheetViews>
    <sheetView showGridLines="0" workbookViewId="0">
      <selection activeCell="G12" sqref="G12"/>
    </sheetView>
  </sheetViews>
  <sheetFormatPr baseColWidth="10" defaultRowHeight="12.75" x14ac:dyDescent="0.2"/>
  <cols>
    <col min="1" max="1" width="14.140625" customWidth="1"/>
    <col min="2" max="2" width="11.42578125" customWidth="1"/>
    <col min="3" max="3" width="13.42578125" customWidth="1"/>
    <col min="10" max="10" width="2.5703125" customWidth="1"/>
    <col min="11" max="16" width="12.140625" bestFit="1" customWidth="1"/>
  </cols>
  <sheetData>
    <row r="1" spans="1:16" s="1" customFormat="1" x14ac:dyDescent="0.2"/>
    <row r="2" spans="1:16" s="1" customFormat="1" x14ac:dyDescent="0.2"/>
    <row r="3" spans="1:16" s="1" customFormat="1" x14ac:dyDescent="0.2"/>
    <row r="4" spans="1:16" s="1" customFormat="1" x14ac:dyDescent="0.2"/>
    <row r="5" spans="1:16" s="1" customFormat="1" x14ac:dyDescent="0.2"/>
    <row r="6" spans="1:16" s="4" customFormat="1" ht="63" customHeight="1" x14ac:dyDescent="0.2">
      <c r="A6" s="590" t="s">
        <v>185</v>
      </c>
      <c r="B6" s="590"/>
      <c r="C6" s="590"/>
      <c r="D6" s="590"/>
      <c r="E6" s="590"/>
      <c r="F6" s="590"/>
      <c r="G6" s="590"/>
      <c r="H6" s="590"/>
      <c r="I6" s="590"/>
    </row>
    <row r="7" spans="1:16" ht="13.5" thickBot="1" x14ac:dyDescent="0.25"/>
    <row r="8" spans="1:16" ht="25.5" x14ac:dyDescent="0.2">
      <c r="A8" s="62" t="s">
        <v>53</v>
      </c>
      <c r="B8" s="69" t="s">
        <v>69</v>
      </c>
      <c r="C8" s="63" t="s">
        <v>52</v>
      </c>
      <c r="D8" s="69" t="s">
        <v>15</v>
      </c>
      <c r="E8" s="69" t="s">
        <v>16</v>
      </c>
      <c r="F8" s="69" t="s">
        <v>17</v>
      </c>
      <c r="G8" s="69" t="s">
        <v>18</v>
      </c>
      <c r="H8" s="69" t="s">
        <v>19</v>
      </c>
      <c r="I8" s="74" t="s">
        <v>20</v>
      </c>
    </row>
    <row r="9" spans="1:16" ht="19.5" x14ac:dyDescent="0.2">
      <c r="A9" s="64" t="s">
        <v>10</v>
      </c>
      <c r="B9" s="70" t="s">
        <v>10</v>
      </c>
      <c r="C9" s="65" t="s">
        <v>54</v>
      </c>
      <c r="D9" s="75">
        <v>1</v>
      </c>
      <c r="E9" s="75">
        <v>1</v>
      </c>
      <c r="F9" s="75">
        <v>1</v>
      </c>
      <c r="G9" s="75">
        <v>1</v>
      </c>
      <c r="H9" s="80">
        <v>1</v>
      </c>
      <c r="I9" s="85">
        <v>1</v>
      </c>
      <c r="K9" s="89"/>
      <c r="L9" s="89"/>
      <c r="M9" s="89"/>
      <c r="N9" s="89"/>
      <c r="O9" s="89"/>
      <c r="P9" s="89"/>
    </row>
    <row r="10" spans="1:16" ht="19.5" x14ac:dyDescent="0.2">
      <c r="A10" s="586" t="s">
        <v>11</v>
      </c>
      <c r="B10" s="71" t="s">
        <v>11</v>
      </c>
      <c r="C10" s="66" t="s">
        <v>55</v>
      </c>
      <c r="D10" s="76">
        <f>'IIa. Balances de Potencia'!$G$15/('IIa. Balances de Potencia'!$F$15+'IIa. Balances de Potencia'!$G$15)</f>
        <v>0.28121146460141422</v>
      </c>
      <c r="E10" s="76">
        <f>'IIa. Balances de Potencia'!$G$26/('IIa. Balances de Potencia'!$F$26+'IIa. Balances de Potencia'!$G$26)</f>
        <v>0.37669895253283364</v>
      </c>
      <c r="F10" s="76">
        <f>'IIa. Balances de Potencia'!$G$37/('IIa. Balances de Potencia'!$F$37+'IIa. Balances de Potencia'!$G$37)</f>
        <v>0.3990794612815623</v>
      </c>
      <c r="G10" s="76">
        <f>'IIa. Balances de Potencia'!$G$48/('IIa. Balances de Potencia'!$F$48+'IIa. Balances de Potencia'!$G$48)</f>
        <v>0.39424704348054823</v>
      </c>
      <c r="H10" s="81">
        <f>'IIa. Balances de Potencia'!$G$59/('IIa. Balances de Potencia'!$F$59+'IIa. Balances de Potencia'!$G$59)</f>
        <v>0.38988688145912376</v>
      </c>
      <c r="I10" s="86">
        <f>'IIa. Balances de Potencia'!$G$70/('IIa. Balances de Potencia'!$F$70+'IIa. Balances de Potencia'!$G$70)</f>
        <v>0.24736842655858945</v>
      </c>
      <c r="K10" s="89"/>
      <c r="L10" s="89"/>
      <c r="M10" s="89"/>
      <c r="N10" s="89"/>
      <c r="O10" s="89"/>
      <c r="P10" s="89"/>
    </row>
    <row r="11" spans="1:16" ht="19.5" x14ac:dyDescent="0.2">
      <c r="A11" s="587"/>
      <c r="B11" s="72" t="s">
        <v>10</v>
      </c>
      <c r="C11" s="67" t="s">
        <v>56</v>
      </c>
      <c r="D11" s="77">
        <f>'IIa. Balances de Potencia'!$F$15/('IIa. Balances de Potencia'!$F$15+'IIa. Balances de Potencia'!$G$15)</f>
        <v>0.71878853539858589</v>
      </c>
      <c r="E11" s="77">
        <f>'IIa. Balances de Potencia'!$F$26/('IIa. Balances de Potencia'!$F$26+'IIa. Balances de Potencia'!$G$26)</f>
        <v>0.6233010474671663</v>
      </c>
      <c r="F11" s="77">
        <f>'IIa. Balances de Potencia'!$F$37/('IIa. Balances de Potencia'!$F$37+'IIa. Balances de Potencia'!$G$37)</f>
        <v>0.60092053871843776</v>
      </c>
      <c r="G11" s="77">
        <f>'IIa. Balances de Potencia'!$F$48/('IIa. Balances de Potencia'!$F$48+'IIa. Balances de Potencia'!$G$48)</f>
        <v>0.60575295651945182</v>
      </c>
      <c r="H11" s="82">
        <f>'IIa. Balances de Potencia'!$F$59/('IIa. Balances de Potencia'!$F$59+'IIa. Balances de Potencia'!$G$59)</f>
        <v>0.61011311854087613</v>
      </c>
      <c r="I11" s="87">
        <f>'IIa. Balances de Potencia'!$F$70/('IIa. Balances de Potencia'!$F$70+'IIa. Balances de Potencia'!$G$70)</f>
        <v>0.75263157344141052</v>
      </c>
      <c r="K11" s="89"/>
      <c r="L11" s="89"/>
      <c r="M11" s="89"/>
      <c r="N11" s="89"/>
      <c r="O11" s="89"/>
      <c r="P11" s="89"/>
    </row>
    <row r="12" spans="1:16" ht="18.75" x14ac:dyDescent="0.2">
      <c r="A12" s="586" t="s">
        <v>12</v>
      </c>
      <c r="B12" s="71" t="s">
        <v>12</v>
      </c>
      <c r="C12" s="66" t="s">
        <v>57</v>
      </c>
      <c r="D12" s="76">
        <f>'IIa. Balances de Potencia'!$G$14/SUM('IIa. Balances de Potencia'!$E$14:$G$14)</f>
        <v>0.16595788046142793</v>
      </c>
      <c r="E12" s="76">
        <f>'IIa. Balances de Potencia'!$G$25/SUM('IIa. Balances de Potencia'!$E$25:$G$25)</f>
        <v>0.18573956572448327</v>
      </c>
      <c r="F12" s="76">
        <f>'IIa. Balances de Potencia'!$G$36/SUM('IIa. Balances de Potencia'!$E$36:$G$36)</f>
        <v>0.20183982132150949</v>
      </c>
      <c r="G12" s="76">
        <f>'IIa. Balances de Potencia'!$G$47/SUM('IIa. Balances de Potencia'!$E$47:$G$47)</f>
        <v>0.20141498726779386</v>
      </c>
      <c r="H12" s="81">
        <f>'IIa. Balances de Potencia'!$G$58/SUM('IIa. Balances de Potencia'!$E$58:$G$58)</f>
        <v>0.22219870201498626</v>
      </c>
      <c r="I12" s="86">
        <f>'IIa. Balances de Potencia'!$G$69/SUM('IIa. Balances de Potencia'!$E$69:$G$69)</f>
        <v>0.15283139204025539</v>
      </c>
      <c r="K12" s="89"/>
      <c r="L12" s="89"/>
      <c r="M12" s="89"/>
      <c r="N12" s="89"/>
      <c r="O12" s="89"/>
      <c r="P12" s="89"/>
    </row>
    <row r="13" spans="1:16" ht="18.75" x14ac:dyDescent="0.2">
      <c r="A13" s="588"/>
      <c r="B13" s="71" t="s">
        <v>11</v>
      </c>
      <c r="C13" s="66" t="s">
        <v>58</v>
      </c>
      <c r="D13" s="76">
        <f>'IIa. Balances de Potencia'!$E$14/SUM('IIa. Balances de Potencia'!$E$14:$G$14)*D10</f>
        <v>0.23441737129366458</v>
      </c>
      <c r="E13" s="76">
        <f>'IIa. Balances de Potencia'!$E$25/SUM('IIa. Balances de Potencia'!$E$25:$G$25)*E10</f>
        <v>0.3065930842820187</v>
      </c>
      <c r="F13" s="76">
        <f>'IIa. Balances de Potencia'!$E$36/SUM('IIa. Balances de Potencia'!$E$36:$G$36)*F10</f>
        <v>0.31837938853215753</v>
      </c>
      <c r="G13" s="76">
        <f>'IIa. Balances de Potencia'!$E$47/SUM('IIa. Balances de Potencia'!$E$47:$G$47)*G10</f>
        <v>0.31469262569409212</v>
      </c>
      <c r="H13" s="81">
        <f>'IIa. Balances de Potencia'!$E$58/SUM('IIa. Balances de Potencia'!$E$58:$G$58)*H10</f>
        <v>0.30312004980695689</v>
      </c>
      <c r="I13" s="86">
        <f>'IIa. Balances de Potencia'!$E$69/SUM('IIa. Balances de Potencia'!$E$69:$G$69)*I10</f>
        <v>0.20943251410916783</v>
      </c>
      <c r="K13" s="89"/>
      <c r="L13" s="89"/>
      <c r="M13" s="89"/>
      <c r="N13" s="89"/>
      <c r="O13" s="89"/>
      <c r="P13" s="89"/>
    </row>
    <row r="14" spans="1:16" ht="18.75" x14ac:dyDescent="0.2">
      <c r="A14" s="587"/>
      <c r="B14" s="72" t="s">
        <v>10</v>
      </c>
      <c r="C14" s="67" t="s">
        <v>59</v>
      </c>
      <c r="D14" s="77">
        <f>'IIa. Balances de Potencia'!$F$14/SUM('IIa. Balances de Potencia'!$E$14:$G$14)+'IIa. Balances de Potencia'!$E$14/SUM('IIa. Balances de Potencia'!$E$14:$G$14)*D11</f>
        <v>0.59962474824490741</v>
      </c>
      <c r="E14" s="77">
        <f>'IIa. Balances de Potencia'!$F$25/SUM('IIa. Balances de Potencia'!$E$25:$G$25)+'IIa. Balances de Potencia'!$E$25/SUM('IIa. Balances de Potencia'!$E$25:$G$25)*E11</f>
        <v>0.50766734999349783</v>
      </c>
      <c r="F14" s="77">
        <f>'IIa. Balances de Potencia'!$F$36/SUM('IIa. Balances de Potencia'!$E$36:$G$36)+'IIa. Balances de Potencia'!$E$36/SUM('IIa. Balances de Potencia'!$E$36:$G$36)*F11</f>
        <v>0.47978079014633312</v>
      </c>
      <c r="G14" s="77">
        <f>'IIa. Balances de Potencia'!$F$47/SUM('IIa. Balances de Potencia'!$E$47:$G$47)+'IIa. Balances de Potencia'!$E$47/SUM('IIa. Balances de Potencia'!$E$47:$G$47)*G11</f>
        <v>0.4838923870381141</v>
      </c>
      <c r="H14" s="82">
        <f>'IIa. Balances de Potencia'!$F$58/SUM('IIa. Balances de Potencia'!$E$58:$G$58)+'IIa. Balances de Potencia'!$E$58/SUM('IIa. Balances de Potencia'!$E$58:$G$58)*H11</f>
        <v>0.47468124817805668</v>
      </c>
      <c r="I14" s="87">
        <f>'IIa. Balances de Potencia'!$F$69/SUM('IIa. Balances de Potencia'!$E$69:$G$69)+'IIa. Balances de Potencia'!$E$69/SUM('IIa. Balances de Potencia'!$E$69:$G$69)*I11</f>
        <v>0.63773609385057661</v>
      </c>
      <c r="K14" s="89"/>
      <c r="L14" s="89"/>
      <c r="M14" s="89"/>
      <c r="N14" s="89"/>
      <c r="O14" s="89"/>
      <c r="P14" s="89"/>
    </row>
    <row r="15" spans="1:16" ht="18.75" x14ac:dyDescent="0.2">
      <c r="A15" s="586" t="s">
        <v>13</v>
      </c>
      <c r="B15" s="71" t="s">
        <v>13</v>
      </c>
      <c r="C15" s="66" t="s">
        <v>60</v>
      </c>
      <c r="D15" s="76">
        <f>'IIa. Balances de Potencia'!$G$13/SUM('IIa. Balances de Potencia'!$C$13:$G$13)</f>
        <v>6.2353843038917327E-2</v>
      </c>
      <c r="E15" s="76">
        <f>'IIa. Balances de Potencia'!$G$24/SUM('IIa. Balances de Potencia'!$C$24:$G$24)</f>
        <v>7.3543631107900909E-2</v>
      </c>
      <c r="F15" s="76">
        <f>'IIa. Balances de Potencia'!$G$35/SUM('IIa. Balances de Potencia'!$C$35:$G$35)</f>
        <v>8.1459863910867458E-2</v>
      </c>
      <c r="G15" s="76">
        <f>'IIa. Balances de Potencia'!$G$46/SUM('IIa. Balances de Potencia'!$C$46:$G$46)</f>
        <v>8.3099421726132675E-2</v>
      </c>
      <c r="H15" s="81">
        <f>'IIa. Balances de Potencia'!$G$57/SUM('IIa. Balances de Potencia'!$C$57:$G$57)</f>
        <v>9.668938485080561E-2</v>
      </c>
      <c r="I15" s="86">
        <f>'IIa. Balances de Potencia'!$G$68/SUM('IIa. Balances de Potencia'!$C$68:$G$68)</f>
        <v>7.4771903736067472E-2</v>
      </c>
      <c r="K15" s="89"/>
      <c r="L15" s="89"/>
      <c r="M15" s="89"/>
      <c r="N15" s="89"/>
      <c r="O15" s="89"/>
      <c r="P15" s="89"/>
    </row>
    <row r="16" spans="1:16" ht="18.75" x14ac:dyDescent="0.2">
      <c r="A16" s="588"/>
      <c r="B16" s="71" t="s">
        <v>12</v>
      </c>
      <c r="C16" s="66" t="s">
        <v>61</v>
      </c>
      <c r="D16" s="76">
        <f>'IIa. Balances de Potencia'!$D$13/SUM('IIa. Balances de Potencia'!$C$13:$G$13)*$D$12</f>
        <v>5.3778702402780695E-2</v>
      </c>
      <c r="E16" s="76">
        <f>'IIa. Balances de Potencia'!$D$24/SUM('IIa. Balances de Potencia'!$C$24:$G$24)*$E$12</f>
        <v>5.6805010289303175E-2</v>
      </c>
      <c r="F16" s="76">
        <f>'IIa. Balances de Potencia'!$D$35/SUM('IIa. Balances de Potencia'!$C$35:$G$35)*$F$12</f>
        <v>6.0837150240139158E-2</v>
      </c>
      <c r="G16" s="76">
        <f>'IIa. Balances de Potencia'!$D$46/SUM('IIa. Balances de Potencia'!$C$46:$G$46)*$G$12</f>
        <v>5.9774385297550969E-2</v>
      </c>
      <c r="H16" s="81">
        <f>'IIa. Balances de Potencia'!$D$57/SUM('IIa. Balances de Potencia'!$C$57:$G$57)*$H$12</f>
        <v>6.8265250243400827E-2</v>
      </c>
      <c r="I16" s="86">
        <f>'IIa. Balances de Potencia'!$D$68/SUM('IIa. Balances de Potencia'!$C$68:$G$68)*$I$12</f>
        <v>4.8242563739987178E-2</v>
      </c>
      <c r="K16" s="89"/>
      <c r="L16" s="89"/>
      <c r="M16" s="89"/>
      <c r="N16" s="89"/>
      <c r="O16" s="89"/>
      <c r="P16" s="89"/>
    </row>
    <row r="17" spans="1:16" ht="18.75" x14ac:dyDescent="0.2">
      <c r="A17" s="588"/>
      <c r="B17" s="71" t="s">
        <v>11</v>
      </c>
      <c r="C17" s="66" t="s">
        <v>62</v>
      </c>
      <c r="D17" s="76">
        <f>'IIa. Balances de Potencia'!$E$13/SUM('IIa. Balances de Potencia'!$C$13:$G$13)*$D$10+'IIa. Balances de Potencia'!$D$13/SUM('IIa. Balances de Potencia'!$C$13:$G$13)*$D$13</f>
        <v>0.24851320869292884</v>
      </c>
      <c r="E17" s="76">
        <f>'IIa. Balances de Potencia'!$E$24/SUM('IIa. Balances de Potencia'!$C$24:$G$24)*$E$10+'IIa. Balances de Potencia'!$D$24/SUM('IIa. Balances de Potencia'!$C$24:$G$24)*$E$13</f>
        <v>0.32755456077194472</v>
      </c>
      <c r="F17" s="76">
        <f>'IIa. Balances de Potencia'!$E$35/SUM('IIa. Balances de Potencia'!$C$35:$G$35)*$F$10+'IIa. Balances de Potencia'!$D$35/SUM('IIa. Balances de Potencia'!$C$35:$G$35)*$F$13</f>
        <v>0.34224644997860582</v>
      </c>
      <c r="G17" s="76">
        <f>'IIa. Balances de Potencia'!$E$46/SUM('IIa. Balances de Potencia'!$C$46:$G$46)*$G$10+'IIa. Balances de Potencia'!$D$46/SUM('IIa. Balances de Potencia'!$C$46:$G$46)*$G$13</f>
        <v>0.33787579608105761</v>
      </c>
      <c r="H17" s="81">
        <f>'IIa. Balances de Potencia'!$E$57/SUM('IIa. Balances de Potencia'!$C$57:$G$57)*$H$10+'IIa. Balances de Potencia'!$D$57/SUM('IIa. Balances de Potencia'!$C$57:$G$57)*$H$13</f>
        <v>0.32553191968354028</v>
      </c>
      <c r="I17" s="86">
        <f>'IIa. Balances de Potencia'!$E$68/SUM('IIa. Balances de Potencia'!$C$68:$G$68)*$I$10+'IIa. Balances de Potencia'!$D$68/SUM('IIa. Balances de Potencia'!$C$68:$G$68)*$I$13</f>
        <v>0.21689741628043657</v>
      </c>
      <c r="K17" s="89"/>
      <c r="L17" s="89"/>
      <c r="M17" s="89"/>
      <c r="N17" s="89"/>
      <c r="O17" s="89"/>
      <c r="P17" s="89"/>
    </row>
    <row r="18" spans="1:16" ht="18.75" x14ac:dyDescent="0.2">
      <c r="A18" s="587"/>
      <c r="B18" s="72" t="s">
        <v>10</v>
      </c>
      <c r="C18" s="67" t="s">
        <v>63</v>
      </c>
      <c r="D18" s="77">
        <f>'IIa. Balances de Potencia'!$F$13/SUM('IIa. Balances de Potencia'!$C$13:$G$13)+'IIa. Balances de Potencia'!$D$13/SUM('IIa. Balances de Potencia'!$C$13:$G$13)*$D$14+'IIa. Balances de Potencia'!$E$13/SUM('IIa. Balances de Potencia'!$C$13:$G$13)*$D$11</f>
        <v>0.63535424586537315</v>
      </c>
      <c r="E18" s="77">
        <f>'IIa. Balances de Potencia'!$F$24/SUM('IIa. Balances de Potencia'!$C$24:$G$24)+'IIa. Balances de Potencia'!$D$24/SUM('IIa. Balances de Potencia'!$C$24:$G$24)*$E$14+'IIa. Balances de Potencia'!$E$24/SUM('IIa. Balances de Potencia'!$C$24:$G$24)*$E$11</f>
        <v>0.54209679783085107</v>
      </c>
      <c r="F18" s="77">
        <f>'IIa. Balances de Potencia'!$F$35/SUM('IIa. Balances de Potencia'!$C$35:$G$35)+'IIa. Balances de Potencia'!$D$35/SUM('IIa. Balances de Potencia'!$C$35:$G$35)*$F$14+'IIa. Balances de Potencia'!$E$35/SUM('IIa. Balances de Potencia'!$C$35:$G$35)*$F$11</f>
        <v>0.51545653587038753</v>
      </c>
      <c r="G18" s="77">
        <f>'IIa. Balances de Potencia'!$F$46/SUM('IIa. Balances de Potencia'!$C$46:$G$46)+'IIa. Balances de Potencia'!$D$46/SUM('IIa. Balances de Potencia'!$C$46:$G$46)*$G$14+'IIa. Balances de Potencia'!$E$46/SUM('IIa. Balances de Potencia'!$C$46:$G$46)*$G$11</f>
        <v>0.51925039689525876</v>
      </c>
      <c r="H18" s="82">
        <f>'IIa. Balances de Potencia'!$F$57/SUM('IIa. Balances de Potencia'!$C$57:$G$57)+'IIa. Balances de Potencia'!$D$57/SUM('IIa. Balances de Potencia'!$C$57:$G$57)*$H$14+'IIa. Balances de Potencia'!$E$57/SUM('IIa. Balances de Potencia'!$C$57:$G$57)*$H$11</f>
        <v>0.50951344522225328</v>
      </c>
      <c r="I18" s="87">
        <f>'IIa. Balances de Potencia'!$F$68/SUM('IIa. Balances de Potencia'!$C$68:$G$68)+'IIa. Balances de Potencia'!$D$68/SUM('IIa. Balances de Potencia'!$C$68:$G$68)*$I$14+'IIa. Balances de Potencia'!$E$68/SUM('IIa. Balances de Potencia'!$C$68:$G$68)*$I$11</f>
        <v>0.66008811624350883</v>
      </c>
      <c r="K18" s="89"/>
      <c r="L18" s="89"/>
      <c r="M18" s="89"/>
      <c r="N18" s="89"/>
      <c r="O18" s="89"/>
      <c r="P18" s="89"/>
    </row>
    <row r="19" spans="1:16" ht="18.75" x14ac:dyDescent="0.2">
      <c r="A19" s="586" t="s">
        <v>14</v>
      </c>
      <c r="B19" s="71" t="s">
        <v>14</v>
      </c>
      <c r="C19" s="66" t="s">
        <v>64</v>
      </c>
      <c r="D19" s="76">
        <f>'IIa. Balances de Potencia'!$G$12/SUM('IIa. Balances de Potencia'!$C$12:$G$12)</f>
        <v>9.0341515431305003E-2</v>
      </c>
      <c r="E19" s="76">
        <f>'IIa. Balances de Potencia'!$G$23/SUM('IIa. Balances de Potencia'!$C$23:$G$23)</f>
        <v>7.5313127857926571E-2</v>
      </c>
      <c r="F19" s="76">
        <f>'IIa. Balances de Potencia'!$G$34/SUM('IIa. Balances de Potencia'!$C$34:$G$34)</f>
        <v>8.2489405576404135E-2</v>
      </c>
      <c r="G19" s="76">
        <f>'IIa. Balances de Potencia'!$G$45/SUM('IIa. Balances de Potencia'!$C$45:$G$45)</f>
        <v>8.2981457539222911E-2</v>
      </c>
      <c r="H19" s="81">
        <f>'IIa. Balances de Potencia'!$G$56/SUM('IIa. Balances de Potencia'!$C$56:$G$56)</f>
        <v>0.1318912437806207</v>
      </c>
      <c r="I19" s="86">
        <f>'IIa. Balances de Potencia'!$G$67/SUM('IIa. Balances de Potencia'!$C$67:$G$67)</f>
        <v>0.12485369852498195</v>
      </c>
      <c r="K19" s="89"/>
      <c r="L19" s="89"/>
      <c r="M19" s="89"/>
      <c r="N19" s="89"/>
      <c r="O19" s="89"/>
      <c r="P19" s="89"/>
    </row>
    <row r="20" spans="1:16" ht="18.75" x14ac:dyDescent="0.2">
      <c r="A20" s="588"/>
      <c r="B20" s="71" t="s">
        <v>13</v>
      </c>
      <c r="C20" s="66" t="s">
        <v>65</v>
      </c>
      <c r="D20" s="76">
        <f>'IIa. Balances de Potencia'!$C$12/SUM('IIa. Balances de Potencia'!$C$12:$G$12)*D15</f>
        <v>2.7588367219473612E-2</v>
      </c>
      <c r="E20" s="76">
        <f>'IIa. Balances de Potencia'!$C$23/SUM('IIa. Balances de Potencia'!$C$23:$G$23)*E15</f>
        <v>3.1827973203528724E-2</v>
      </c>
      <c r="F20" s="76">
        <f>'IIa. Balances de Potencia'!$C$34/SUM('IIa. Balances de Potencia'!$C$34:$G$34)*F15</f>
        <v>3.436803360815377E-2</v>
      </c>
      <c r="G20" s="76">
        <f>'IIa. Balances de Potencia'!$C$45/SUM('IIa. Balances de Potencia'!$C$45:$G$45)*G15</f>
        <v>3.4841344343194754E-2</v>
      </c>
      <c r="H20" s="81">
        <f>'IIa. Balances de Potencia'!$C$56/SUM('IIa. Balances de Potencia'!$C$56:$G$56)*H15</f>
        <v>3.887096828004527E-2</v>
      </c>
      <c r="I20" s="86">
        <f>'IIa. Balances de Potencia'!$C$67/SUM('IIa. Balances de Potencia'!$C$67:$G$67)*I15</f>
        <v>3.3177941655044126E-2</v>
      </c>
      <c r="K20" s="89"/>
      <c r="L20" s="89"/>
      <c r="M20" s="89"/>
      <c r="N20" s="89"/>
      <c r="O20" s="89"/>
      <c r="P20" s="89"/>
    </row>
    <row r="21" spans="1:16" ht="18.75" x14ac:dyDescent="0.2">
      <c r="A21" s="588"/>
      <c r="B21" s="71" t="s">
        <v>12</v>
      </c>
      <c r="C21" s="66" t="s">
        <v>66</v>
      </c>
      <c r="D21" s="76">
        <f>'IIa. Balances de Potencia'!$D$12/SUM('IIa. Balances de Potencia'!$C$12:$G$12)*D12+'IIa. Balances de Potencia'!$C$12/SUM('IIa. Balances de Potencia'!$C$12:$G$12)*D16</f>
        <v>6.2378570180296258E-2</v>
      </c>
      <c r="E21" s="76">
        <f>'IIa. Balances de Potencia'!$D$23/SUM('IIa. Balances de Potencia'!$C$23:$G$23)*E12+'IIa. Balances de Potencia'!$C$23/SUM('IIa. Balances de Potencia'!$C$23:$G$23)*E16</f>
        <v>6.9808490554235519E-2</v>
      </c>
      <c r="F21" s="76">
        <f>'IIa. Balances de Potencia'!$D$34/SUM('IIa. Balances de Potencia'!$C$34:$G$34)*F12+'IIa. Balances de Potencia'!$C$34/SUM('IIa. Balances de Potencia'!$C$34:$G$34)*F16</f>
        <v>7.5838779629130409E-2</v>
      </c>
      <c r="G21" s="76">
        <f>'IIa. Balances de Potencia'!$D$45/SUM('IIa. Balances de Potencia'!$C$45:$G$45)*G12+'IIa. Balances de Potencia'!$C$45/SUM('IIa. Balances de Potencia'!$C$45:$G$45)*G16</f>
        <v>7.4953426404925985E-2</v>
      </c>
      <c r="H21" s="81">
        <f>'IIa. Balances de Potencia'!$D$56/SUM('IIa. Balances de Potencia'!$C$56:$G$56)*H12+'IIa. Balances de Potencia'!$C$56/SUM('IIa. Balances de Potencia'!$C$56:$G$56)*H16</f>
        <v>7.7147259905700621E-2</v>
      </c>
      <c r="I21" s="86">
        <f>'IIa. Balances de Potencia'!$D$67/SUM('IIa. Balances de Potencia'!$C$67:$G$67)*I12+'IIa. Balances de Potencia'!$C$67/SUM('IIa. Balances de Potencia'!$C$67:$G$67)*I16</f>
        <v>5.3076446774933839E-2</v>
      </c>
      <c r="K21" s="89"/>
      <c r="L21" s="89"/>
      <c r="M21" s="89"/>
      <c r="N21" s="89"/>
      <c r="O21" s="89"/>
      <c r="P21" s="89"/>
    </row>
    <row r="22" spans="1:16" ht="18.75" x14ac:dyDescent="0.2">
      <c r="A22" s="588"/>
      <c r="B22" s="71" t="s">
        <v>11</v>
      </c>
      <c r="C22" s="66" t="s">
        <v>67</v>
      </c>
      <c r="D22" s="76">
        <f>'IIa. Balances de Potencia'!$C$12/SUM('IIa. Balances de Potencia'!$C$12:$G$12)*D17+'IIa. Balances de Potencia'!$D$12/SUM('IIa. Balances de Potencia'!$C$12:$G$12)*D13+'IIa. Balances de Potencia'!$E$12/SUM('IIa. Balances de Potencia'!$C$12:$G$12)*D10</f>
        <v>0.2304597389030103</v>
      </c>
      <c r="E22" s="76">
        <f>'IIa. Balances de Potencia'!$C$23/SUM('IIa. Balances de Potencia'!$C$23:$G$23)*E17+'IIa. Balances de Potencia'!$D$23/SUM('IIa. Balances de Potencia'!$C$23:$G$23)*E13+'IIa. Balances de Potencia'!$E$23/SUM('IIa. Balances de Potencia'!$C$23:$G$23)*E10</f>
        <v>0.30999037257902007</v>
      </c>
      <c r="F22" s="76">
        <f>'IIa. Balances de Potencia'!$C$34/SUM('IIa. Balances de Potencia'!$C$34:$G$34)*F17+'IIa. Balances de Potencia'!$D$34/SUM('IIa. Balances de Potencia'!$C$34:$G$34)*F13+'IIa. Balances de Potencia'!$E$34/SUM('IIa. Balances de Potencia'!$C$34:$G$34)*F10</f>
        <v>0.32212201791241252</v>
      </c>
      <c r="G22" s="76">
        <f>'IIa. Balances de Potencia'!$C$45/SUM('IIa. Balances de Potencia'!$C$45:$G$45)*G17+'IIa. Balances de Potencia'!$D$45/SUM('IIa. Balances de Potencia'!$C$45:$G$45)*G13+'IIa. Balances de Potencia'!$E$45/SUM('IIa. Balances de Potencia'!$C$45:$G$45)*G10</f>
        <v>0.31819082417110101</v>
      </c>
      <c r="H22" s="81">
        <f>'IIa. Balances de Potencia'!$C$56/SUM('IIa. Balances de Potencia'!$C$56:$G$56)*H17+'IIa. Balances de Potencia'!$D$56/SUM('IIa. Balances de Potencia'!$C$56:$G$56)*H13+'IIa. Balances de Potencia'!$E$56/SUM('IIa. Balances de Potencia'!$C$56:$G$56)*H10</f>
        <v>0.29318354172100969</v>
      </c>
      <c r="I22" s="86">
        <f>'IIa. Balances de Potencia'!$C$67/SUM('IIa. Balances de Potencia'!$C$67:$G$67)*I17+'IIa. Balances de Potencia'!$D$67/SUM('IIa. Balances de Potencia'!$C$67:$G$67)*I13+'IIa. Balances de Potencia'!$E$67/SUM('IIa. Balances de Potencia'!$C$67:$G$67)*I10</f>
        <v>0.19510171653424319</v>
      </c>
      <c r="K22" s="89"/>
      <c r="L22" s="89"/>
      <c r="M22" s="89"/>
      <c r="N22" s="89"/>
      <c r="O22" s="89"/>
      <c r="P22" s="89"/>
    </row>
    <row r="23" spans="1:16" ht="19.5" thickBot="1" x14ac:dyDescent="0.25">
      <c r="A23" s="589"/>
      <c r="B23" s="73" t="s">
        <v>10</v>
      </c>
      <c r="C23" s="68" t="s">
        <v>68</v>
      </c>
      <c r="D23" s="78">
        <f>'IIa. Balances de Potencia'!$C$12/SUM('IIa. Balances de Potencia'!$C$12:$G$12)*D18+'IIa. Balances de Potencia'!$D$12/SUM('IIa. Balances de Potencia'!$C$12:$G$12)*D14+'IIa. Balances de Potencia'!$E$12/SUM('IIa. Balances de Potencia'!$C$12:$G$12)*D11+'IIa. Balances de Potencia'!$F$12/SUM('IIa. Balances de Potencia'!$C$12:$G$12)</f>
        <v>0.58923180826591492</v>
      </c>
      <c r="E23" s="78">
        <f>'IIa. Balances de Potencia'!$C$23/SUM('IIa. Balances de Potencia'!$C$23:$G$23)*E18+'IIa. Balances de Potencia'!$D$23/SUM('IIa. Balances de Potencia'!$C$23:$G$23)*E14+'IIa. Balances de Potencia'!$E$23/SUM('IIa. Balances de Potencia'!$C$23:$G$23)*E11+'IIa. Balances de Potencia'!$F$23/SUM('IIa. Balances de Potencia'!$C$23:$G$23)</f>
        <v>0.51306003580528892</v>
      </c>
      <c r="F23" s="78">
        <f>'IIa. Balances de Potencia'!$C$34/SUM('IIa. Balances de Potencia'!$C$34:$G$34)*F18+'IIa. Balances de Potencia'!$D$34/SUM('IIa. Balances de Potencia'!$C$34:$G$34)*F14+'IIa. Balances de Potencia'!$E$34/SUM('IIa. Balances de Potencia'!$C$34:$G$34)*F11+'IIa. Balances de Potencia'!$F$34/SUM('IIa. Balances de Potencia'!$C$34:$G$34)</f>
        <v>0.48518176327389934</v>
      </c>
      <c r="G23" s="78">
        <f>'IIa. Balances de Potencia'!$C$45/SUM('IIa. Balances de Potencia'!$C$45:$G$45)*G18+'IIa. Balances de Potencia'!$D$45/SUM('IIa. Balances de Potencia'!$C$45:$G$45)*G14+'IIa. Balances de Potencia'!$E$45/SUM('IIa. Balances de Potencia'!$C$45:$G$45)*G11+'IIa. Balances de Potencia'!$F$45/SUM('IIa. Balances de Potencia'!$C$45:$G$45)</f>
        <v>0.48903294754155535</v>
      </c>
      <c r="H23" s="83">
        <f>'IIa. Balances de Potencia'!$C$56/SUM('IIa. Balances de Potencia'!$C$56:$G$56)*H18+'IIa. Balances de Potencia'!$D$56/SUM('IIa. Balances de Potencia'!$C$56:$G$56)*H14+'IIa. Balances de Potencia'!$E$56/SUM('IIa. Balances de Potencia'!$C$56:$G$56)*H11+'IIa. Balances de Potencia'!$F$56/SUM('IIa. Balances de Potencia'!$C$56:$G$56)</f>
        <v>0.45890698631262361</v>
      </c>
      <c r="I23" s="88">
        <f>'IIa. Balances de Potencia'!$C$67/SUM('IIa. Balances de Potencia'!$C$67:$G$67)*I18+'IIa. Balances de Potencia'!$D$67/SUM('IIa. Balances de Potencia'!$C$67:$G$67)*I14+'IIa. Balances de Potencia'!$E$67/SUM('IIa. Balances de Potencia'!$C$67:$G$67)*I11+'IIa. Balances de Potencia'!$F$67/SUM('IIa. Balances de Potencia'!$C$67:$G$67)</f>
        <v>0.59379019651079679</v>
      </c>
      <c r="K23" s="89"/>
      <c r="L23" s="89"/>
      <c r="M23" s="89"/>
      <c r="N23" s="89"/>
      <c r="O23" s="89"/>
      <c r="P23" s="89"/>
    </row>
  </sheetData>
  <mergeCells count="5">
    <mergeCell ref="A10:A11"/>
    <mergeCell ref="A12:A14"/>
    <mergeCell ref="A15:A18"/>
    <mergeCell ref="A19:A23"/>
    <mergeCell ref="A6:I6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02474-D165-4973-98A8-B3B11167D3D2}">
  <dimension ref="A1:P25"/>
  <sheetViews>
    <sheetView showGridLines="0" workbookViewId="0">
      <selection activeCell="D12" sqref="D12"/>
    </sheetView>
  </sheetViews>
  <sheetFormatPr baseColWidth="10" defaultRowHeight="12.75" x14ac:dyDescent="0.2"/>
  <cols>
    <col min="1" max="1" width="14.140625" customWidth="1"/>
    <col min="2" max="2" width="11.42578125" customWidth="1"/>
    <col min="3" max="3" width="13.42578125" customWidth="1"/>
  </cols>
  <sheetData>
    <row r="1" spans="1:16" s="1" customFormat="1" x14ac:dyDescent="0.2"/>
    <row r="2" spans="1:16" s="1" customFormat="1" x14ac:dyDescent="0.2"/>
    <row r="3" spans="1:16" s="1" customFormat="1" x14ac:dyDescent="0.2"/>
    <row r="4" spans="1:16" s="1" customFormat="1" x14ac:dyDescent="0.2"/>
    <row r="5" spans="1:16" s="1" customFormat="1" x14ac:dyDescent="0.2"/>
    <row r="6" spans="1:16" s="4" customFormat="1" ht="63.75" customHeight="1" x14ac:dyDescent="0.2">
      <c r="A6" s="590" t="s">
        <v>186</v>
      </c>
      <c r="B6" s="590"/>
      <c r="C6" s="590"/>
      <c r="D6" s="590"/>
      <c r="E6" s="590"/>
      <c r="F6" s="590"/>
      <c r="G6" s="590"/>
      <c r="H6" s="590"/>
      <c r="I6" s="590"/>
    </row>
    <row r="7" spans="1:16" ht="13.5" thickBot="1" x14ac:dyDescent="0.25"/>
    <row r="8" spans="1:16" ht="25.5" x14ac:dyDescent="0.2">
      <c r="A8" s="62" t="s">
        <v>53</v>
      </c>
      <c r="B8" s="69" t="s">
        <v>69</v>
      </c>
      <c r="C8" s="63" t="s">
        <v>52</v>
      </c>
      <c r="D8" s="69" t="s">
        <v>15</v>
      </c>
      <c r="E8" s="69" t="s">
        <v>16</v>
      </c>
      <c r="F8" s="69" t="s">
        <v>17</v>
      </c>
      <c r="G8" s="69" t="s">
        <v>18</v>
      </c>
      <c r="H8" s="69" t="s">
        <v>19</v>
      </c>
      <c r="I8" s="74" t="s">
        <v>20</v>
      </c>
    </row>
    <row r="9" spans="1:16" ht="19.5" x14ac:dyDescent="0.2">
      <c r="A9" s="64" t="s">
        <v>10</v>
      </c>
      <c r="B9" s="70" t="s">
        <v>10</v>
      </c>
      <c r="C9" s="65" t="s">
        <v>54</v>
      </c>
      <c r="D9" s="75">
        <v>1</v>
      </c>
      <c r="E9" s="75">
        <v>1</v>
      </c>
      <c r="F9" s="75">
        <v>1</v>
      </c>
      <c r="G9" s="75">
        <v>1</v>
      </c>
      <c r="H9" s="80">
        <v>1</v>
      </c>
      <c r="I9" s="85">
        <v>1</v>
      </c>
      <c r="K9" s="79"/>
      <c r="L9" s="79"/>
      <c r="M9" s="79"/>
      <c r="N9" s="79"/>
      <c r="O9" s="79"/>
      <c r="P9" s="79"/>
    </row>
    <row r="10" spans="1:16" ht="19.5" x14ac:dyDescent="0.2">
      <c r="A10" s="586" t="s">
        <v>11</v>
      </c>
      <c r="B10" s="71" t="s">
        <v>11</v>
      </c>
      <c r="C10" s="66" t="s">
        <v>55</v>
      </c>
      <c r="D10" s="76">
        <f>'IIb. Balances de energía'!$G$15/('IIb. Balances de energía'!$F$15+'IIb. Balances de energía'!$G$15)</f>
        <v>0.35144613924561496</v>
      </c>
      <c r="E10" s="76">
        <f>'IIb. Balances de energía'!$G$26/('IIb. Balances de energía'!$F$26+'IIb. Balances de energía'!$G$26)</f>
        <v>0.35729351755279382</v>
      </c>
      <c r="F10" s="76">
        <f>'IIb. Balances de energía'!$G$37/('IIb. Balances de energía'!$F$37+'IIb. Balances de energía'!$G$37)</f>
        <v>0.39645862034534241</v>
      </c>
      <c r="G10" s="76">
        <f>'IIb. Balances de energía'!$G$48/('IIb. Balances de energía'!$F$48+'IIb. Balances de energía'!$G$48)</f>
        <v>0.39358081683408846</v>
      </c>
      <c r="H10" s="81">
        <f>'IIb. Balances de energía'!$G$59/('IIb. Balances de energía'!$F$59+'IIb. Balances de energía'!$G$59)</f>
        <v>0.41615528461193879</v>
      </c>
      <c r="I10" s="86">
        <f>'IIb. Balances de energía'!$G$70/('IIb. Balances de energía'!$F$70+'IIb. Balances de energía'!$G$70)</f>
        <v>0.37979277196436656</v>
      </c>
      <c r="K10" s="79"/>
      <c r="L10" s="79"/>
      <c r="M10" s="79"/>
      <c r="N10" s="79"/>
      <c r="O10" s="79"/>
      <c r="P10" s="79"/>
    </row>
    <row r="11" spans="1:16" ht="19.5" x14ac:dyDescent="0.2">
      <c r="A11" s="587"/>
      <c r="B11" s="72" t="s">
        <v>10</v>
      </c>
      <c r="C11" s="67" t="s">
        <v>56</v>
      </c>
      <c r="D11" s="77">
        <f>'IIb. Balances de energía'!$F$15/('IIb. Balances de energía'!$F$15+'IIb. Balances de energía'!$G$15)</f>
        <v>0.64855386075438504</v>
      </c>
      <c r="E11" s="77">
        <f>'IIb. Balances de energía'!$F$26/('IIb. Balances de energía'!$F$26+'IIb. Balances de energía'!$G$26)</f>
        <v>0.64270648244720618</v>
      </c>
      <c r="F11" s="77">
        <f>'IIb. Balances de energía'!$F$37/('IIb. Balances de energía'!$F$37+'IIb. Balances de energía'!$G$37)</f>
        <v>0.60354137965465748</v>
      </c>
      <c r="G11" s="77">
        <f>'IIb. Balances de energía'!$F$48/('IIb. Balances de energía'!$F$48+'IIb. Balances de energía'!$G$48)</f>
        <v>0.60641918316591148</v>
      </c>
      <c r="H11" s="82">
        <f>'IIb. Balances de energía'!$F$59/('IIb. Balances de energía'!$F$59+'IIb. Balances de energía'!$G$59)</f>
        <v>0.58384471538806126</v>
      </c>
      <c r="I11" s="87">
        <f>'IIb. Balances de energía'!$F$70/('IIb. Balances de energía'!$F$70+'IIb. Balances de energía'!$G$70)</f>
        <v>0.62020722803563344</v>
      </c>
      <c r="K11" s="79"/>
      <c r="L11" s="79"/>
      <c r="M11" s="79"/>
      <c r="N11" s="79"/>
      <c r="O11" s="79"/>
      <c r="P11" s="79"/>
    </row>
    <row r="12" spans="1:16" ht="18.75" x14ac:dyDescent="0.2">
      <c r="A12" s="586" t="s">
        <v>12</v>
      </c>
      <c r="B12" s="71" t="s">
        <v>12</v>
      </c>
      <c r="C12" s="66" t="s">
        <v>57</v>
      </c>
      <c r="D12" s="76">
        <f>'IIb. Balances de energía'!$G$14/SUM('IIb. Balances de energía'!$E$14:$G$14)</f>
        <v>0.18769864845040984</v>
      </c>
      <c r="E12" s="76">
        <f>'IIb. Balances de energía'!$G$25/SUM('IIb. Balances de energía'!$E$25:$G$25)</f>
        <v>0.20121176644367819</v>
      </c>
      <c r="F12" s="76">
        <f>'IIb. Balances de energía'!$G$36/SUM('IIb. Balances de energía'!$E$36:$G$36)</f>
        <v>0.22573572758771984</v>
      </c>
      <c r="G12" s="76">
        <f>'IIb. Balances de energía'!$G$47/SUM('IIb. Balances de energía'!$E$47:$G$47)</f>
        <v>0.19516664185176774</v>
      </c>
      <c r="H12" s="81">
        <f>'IIb. Balances de energía'!$G$58/SUM('IIb. Balances de energía'!$E$58:$G$58)</f>
        <v>0.25858470915618609</v>
      </c>
      <c r="I12" s="86">
        <f>'IIb. Balances de energía'!$G$69/SUM('IIb. Balances de energía'!$E$69:$G$69)</f>
        <v>0.23849061622916334</v>
      </c>
      <c r="K12" s="79"/>
      <c r="L12" s="79"/>
      <c r="M12" s="79"/>
      <c r="N12" s="79"/>
      <c r="O12" s="79"/>
      <c r="P12" s="79"/>
    </row>
    <row r="13" spans="1:16" ht="18.75" x14ac:dyDescent="0.2">
      <c r="A13" s="588"/>
      <c r="B13" s="71" t="s">
        <v>11</v>
      </c>
      <c r="C13" s="66" t="s">
        <v>58</v>
      </c>
      <c r="D13" s="76">
        <f>'IIb. Balances de energía'!$E$14/SUM('IIb. Balances de energía'!$E$14:$G$14)*D10</f>
        <v>0.28538912701768826</v>
      </c>
      <c r="E13" s="76">
        <f>'IIb. Balances de energía'!$E$25/SUM('IIb. Balances de energía'!$E$25:$G$25)*E10</f>
        <v>0.28530980276453094</v>
      </c>
      <c r="F13" s="76">
        <f>'IIb. Balances de energía'!$E$36/SUM('IIb. Balances de energía'!$E$36:$G$36)*F10</f>
        <v>0.30686808199990084</v>
      </c>
      <c r="G13" s="76">
        <f>'IIb. Balances de energía'!$E$47/SUM('IIb. Balances de energía'!$E$47:$G$47)*G10</f>
        <v>0.31664498180594197</v>
      </c>
      <c r="H13" s="81">
        <f>'IIb. Balances de energía'!$E$58/SUM('IIb. Balances de energía'!$E$58:$G$58)*H10</f>
        <v>0.30845661107712441</v>
      </c>
      <c r="I13" s="86">
        <f>'IIb. Balances de energía'!$E$69/SUM('IIb. Balances de energía'!$E$69:$G$69)*I10</f>
        <v>0.28912395957022291</v>
      </c>
      <c r="K13" s="79"/>
      <c r="L13" s="79"/>
      <c r="M13" s="79"/>
      <c r="N13" s="79"/>
      <c r="O13" s="79"/>
      <c r="P13" s="79"/>
    </row>
    <row r="14" spans="1:16" ht="18.75" x14ac:dyDescent="0.2">
      <c r="A14" s="587"/>
      <c r="B14" s="72" t="s">
        <v>10</v>
      </c>
      <c r="C14" s="67" t="s">
        <v>59</v>
      </c>
      <c r="D14" s="77">
        <f>'IIb. Balances de energía'!$F$14/SUM('IIb. Balances de energía'!$E$14:$G$14)+'IIb. Balances de energía'!$E$14/SUM('IIb. Balances de energía'!$E$14:$G$14)*D11</f>
        <v>0.5269122245319019</v>
      </c>
      <c r="E14" s="77">
        <f>'IIb. Balances de energía'!$F$25/SUM('IIb. Balances de energía'!$E$25:$G$25)+'IIb. Balances de energía'!$E$25/SUM('IIb. Balances de energía'!$E$25:$G$25)*E11</f>
        <v>0.51347843079179079</v>
      </c>
      <c r="F14" s="77">
        <f>'IIb. Balances de energía'!$F$36/SUM('IIb. Balances de energía'!$E$36:$G$36)+'IIb. Balances de energía'!$E$36/SUM('IIb. Balances de energía'!$E$36:$G$36)*F11</f>
        <v>0.46739619041237929</v>
      </c>
      <c r="G14" s="77">
        <f>'IIb. Balances de energía'!$F$47/SUM('IIb. Balances de energía'!$E$47:$G$47)+'IIb. Balances de energía'!$E$47/SUM('IIb. Balances de energía'!$E$47:$G$47)*G11</f>
        <v>0.48818837634229018</v>
      </c>
      <c r="H14" s="82">
        <f>'IIb. Balances de energía'!$F$58/SUM('IIb. Balances de energía'!$E$58:$G$58)+'IIb. Balances de energía'!$E$58/SUM('IIb. Balances de energía'!$E$58:$G$58)*H11</f>
        <v>0.43295867976668961</v>
      </c>
      <c r="I14" s="87">
        <f>'IIb. Balances de energía'!$F$69/SUM('IIb. Balances de energía'!$E$69:$G$69)+'IIb. Balances de energía'!$E$69/SUM('IIb. Balances de energía'!$E$69:$G$69)*I11</f>
        <v>0.47238542420061369</v>
      </c>
      <c r="K14" s="79"/>
      <c r="L14" s="79"/>
      <c r="M14" s="79"/>
      <c r="N14" s="79"/>
      <c r="O14" s="79"/>
      <c r="P14" s="79"/>
    </row>
    <row r="15" spans="1:16" ht="18.75" x14ac:dyDescent="0.2">
      <c r="A15" s="586" t="s">
        <v>13</v>
      </c>
      <c r="B15" s="71" t="s">
        <v>13</v>
      </c>
      <c r="C15" s="66" t="s">
        <v>60</v>
      </c>
      <c r="D15" s="76">
        <f>'IIb. Balances de energía'!$G$13/SUM('IIb. Balances de energía'!$C$13:$G$13)</f>
        <v>7.6583627496463358E-2</v>
      </c>
      <c r="E15" s="76">
        <f>'IIb. Balances de energía'!$G$24/SUM('IIb. Balances de energía'!$C$24:$G$24)</f>
        <v>8.4402977800747889E-2</v>
      </c>
      <c r="F15" s="76">
        <f>'IIb. Balances de energía'!$G$35/SUM('IIb. Balances de energía'!$C$35:$G$35)</f>
        <v>9.4098597398248177E-2</v>
      </c>
      <c r="G15" s="76">
        <f>'IIb. Balances de energía'!$G$46/SUM('IIb. Balances de energía'!$C$46:$G$46)</f>
        <v>9.6117998607460592E-2</v>
      </c>
      <c r="H15" s="81">
        <f>'IIb. Balances de energía'!$G$57/SUM('IIb. Balances de energía'!$C$57:$G$57)</f>
        <v>0.10381767592508116</v>
      </c>
      <c r="I15" s="86">
        <f>'IIb. Balances de energía'!$G$68/SUM('IIb. Balances de energía'!$C$68:$G$68)</f>
        <v>0.11971491726807479</v>
      </c>
      <c r="K15" s="79"/>
      <c r="L15" s="79"/>
      <c r="M15" s="79"/>
      <c r="N15" s="79"/>
      <c r="O15" s="79"/>
      <c r="P15" s="79"/>
    </row>
    <row r="16" spans="1:16" ht="18.75" x14ac:dyDescent="0.2">
      <c r="A16" s="588"/>
      <c r="B16" s="71" t="s">
        <v>12</v>
      </c>
      <c r="C16" s="66" t="s">
        <v>61</v>
      </c>
      <c r="D16" s="76">
        <f>'IIb. Balances de energía'!$D$13/SUM('IIb. Balances de energía'!$C$13:$G$13)*$D$12</f>
        <v>5.7372562685683796E-2</v>
      </c>
      <c r="E16" s="76">
        <f>'IIb. Balances de energía'!$D$24/SUM('IIb. Balances de energía'!$C$24:$G$24)*$E$12</f>
        <v>6.1359081789800367E-2</v>
      </c>
      <c r="F16" s="76">
        <f>'IIb. Balances de energía'!$D$35/SUM('IIb. Balances de energía'!$C$35:$G$35)*$F$12</f>
        <v>6.8936773804475812E-2</v>
      </c>
      <c r="G16" s="76">
        <f>'IIb. Balances de energía'!$D$46/SUM('IIb. Balances de energía'!$C$46:$G$46)*$G$12</f>
        <v>5.7176802667561206E-2</v>
      </c>
      <c r="H16" s="81">
        <f>'IIb. Balances de energía'!$D$57/SUM('IIb. Balances de energía'!$C$57:$G$57)*$H$12</f>
        <v>8.0273448196958308E-2</v>
      </c>
      <c r="I16" s="86">
        <f>'IIb. Balances de energía'!$D$68/SUM('IIb. Balances de energía'!$C$68:$G$68)*$I$12</f>
        <v>7.2376144106503157E-2</v>
      </c>
      <c r="K16" s="79"/>
      <c r="L16" s="79"/>
      <c r="M16" s="79"/>
      <c r="N16" s="79"/>
      <c r="O16" s="79"/>
      <c r="P16" s="79"/>
    </row>
    <row r="17" spans="1:16" ht="18.75" x14ac:dyDescent="0.2">
      <c r="A17" s="588"/>
      <c r="B17" s="71" t="s">
        <v>11</v>
      </c>
      <c r="C17" s="66" t="s">
        <v>62</v>
      </c>
      <c r="D17" s="76">
        <f>'IIb. Balances de energía'!$E$13/SUM('IIb. Balances de energía'!$C$13:$G$13)*$D$10+'IIb. Balances de energía'!$D$13/SUM('IIb. Balances de energía'!$C$13:$G$13)*$D$13</f>
        <v>0.30433992369810209</v>
      </c>
      <c r="E17" s="76">
        <f>'IIb. Balances de energía'!$E$24/SUM('IIb. Balances de energía'!$C$24:$G$24)*$E$10+'IIb. Balances de energía'!$D$24/SUM('IIb. Balances de energía'!$C$24:$G$24)*$E$13</f>
        <v>0.30518560659322957</v>
      </c>
      <c r="F17" s="76">
        <f>'IIb. Balances de energía'!$E$35/SUM('IIb. Balances de energía'!$C$35:$G$35)*$F$10+'IIb. Balances de energía'!$D$35/SUM('IIb. Balances de energía'!$C$35:$G$35)*$F$13</f>
        <v>0.33179262769875312</v>
      </c>
      <c r="G17" s="76">
        <f>'IIb. Balances de energía'!$E$46/SUM('IIb. Balances de energía'!$C$46:$G$46)*$G$10+'IIb. Balances de energía'!$D$46/SUM('IIb. Balances de energía'!$C$46:$G$46)*$G$13</f>
        <v>0.33321118542996897</v>
      </c>
      <c r="H17" s="81">
        <f>'IIb. Balances de energía'!$E$57/SUM('IIb. Balances de energía'!$C$57:$G$57)*$H$10+'IIb. Balances de energía'!$D$57/SUM('IIb. Balances de energía'!$C$57:$G$57)*$H$13</f>
        <v>0.339517695698491</v>
      </c>
      <c r="I17" s="86">
        <f>'IIb. Balances de energía'!$E$68/SUM('IIb. Balances de energía'!$C$68:$G$68)*$I$10+'IIb. Balances de energía'!$D$68/SUM('IIb. Balances de energía'!$C$68:$G$68)*$I$13</f>
        <v>0.30681011616039988</v>
      </c>
      <c r="K17" s="79"/>
      <c r="L17" s="79"/>
      <c r="M17" s="79"/>
      <c r="N17" s="79"/>
      <c r="O17" s="79"/>
      <c r="P17" s="79"/>
    </row>
    <row r="18" spans="1:16" ht="18.75" x14ac:dyDescent="0.2">
      <c r="A18" s="587"/>
      <c r="B18" s="72" t="s">
        <v>10</v>
      </c>
      <c r="C18" s="67" t="s">
        <v>63</v>
      </c>
      <c r="D18" s="77">
        <f>'IIb. Balances de energía'!$F$13/SUM('IIb. Balances de energía'!$C$13:$G$13)+'IIb. Balances de energía'!$D$13/SUM('IIb. Balances de energía'!$C$13:$G$13)*$D$14+'IIb. Balances de energía'!$E$13/SUM('IIb. Balances de energía'!$C$13:$G$13)*$D$11</f>
        <v>0.56170388611975075</v>
      </c>
      <c r="E18" s="77">
        <f>'IIb. Balances de energía'!$F$24/SUM('IIb. Balances de energía'!$C$24:$G$24)+'IIb. Balances de energía'!$D$24/SUM('IIb. Balances de energía'!$C$24:$G$24)*$E$14+'IIb. Balances de energía'!$E$24/SUM('IIb. Balances de energía'!$C$24:$G$24)*$E$11</f>
        <v>0.54905233381622209</v>
      </c>
      <c r="F18" s="77">
        <f>'IIb. Balances de energía'!$F$35/SUM('IIb. Balances de energía'!$C$35:$G$35)+'IIb. Balances de energía'!$D$35/SUM('IIb. Balances de energía'!$C$35:$G$35)*$F$14+'IIb. Balances de energía'!$E$35/SUM('IIb. Balances de energía'!$C$35:$G$35)*$F$11</f>
        <v>0.50517200109852278</v>
      </c>
      <c r="G18" s="77">
        <f>'IIb. Balances de energía'!$F$46/SUM('IIb. Balances de energía'!$C$46:$G$46)+'IIb. Balances de energía'!$D$46/SUM('IIb. Balances de energía'!$C$46:$G$46)*$G$14+'IIb. Balances de energía'!$E$46/SUM('IIb. Balances de energía'!$C$46:$G$46)*$G$11</f>
        <v>0.5134940132950091</v>
      </c>
      <c r="H18" s="82">
        <f>'IIb. Balances de energía'!$F$57/SUM('IIb. Balances de energía'!$C$57:$G$57)+'IIb. Balances de energía'!$D$57/SUM('IIb. Balances de energía'!$C$57:$G$57)*$H$14+'IIb. Balances de energía'!$E$57/SUM('IIb. Balances de energía'!$C$57:$G$57)*$H$11</f>
        <v>0.4763911801794698</v>
      </c>
      <c r="I18" s="87">
        <f>'IIb. Balances de energía'!$F$68/SUM('IIb. Balances de energía'!$C$68:$G$68)+'IIb. Balances de energía'!$D$68/SUM('IIb. Balances de energía'!$C$68:$G$68)*$I$14+'IIb. Balances de energía'!$E$68/SUM('IIb. Balances de energía'!$C$68:$G$68)*$I$11</f>
        <v>0.50109882246502213</v>
      </c>
      <c r="K18" s="79"/>
      <c r="L18" s="79"/>
      <c r="M18" s="79"/>
      <c r="N18" s="79"/>
      <c r="O18" s="79"/>
      <c r="P18" s="79"/>
    </row>
    <row r="19" spans="1:16" ht="18.75" x14ac:dyDescent="0.2">
      <c r="A19" s="586" t="s">
        <v>14</v>
      </c>
      <c r="B19" s="71" t="s">
        <v>14</v>
      </c>
      <c r="C19" s="66" t="s">
        <v>64</v>
      </c>
      <c r="D19" s="76">
        <f>'IIb. Balances de energía'!$G$12/SUM('IIb. Balances de energía'!$C$12:$G$12)</f>
        <v>9.3311448852489848E-2</v>
      </c>
      <c r="E19" s="76">
        <f>'IIb. Balances de energía'!$G$23/SUM('IIb. Balances de energía'!$C$23:$G$23)</f>
        <v>0.10612081521209225</v>
      </c>
      <c r="F19" s="76">
        <f>'IIb. Balances de energía'!$G$34/SUM('IIb. Balances de energía'!$C$34:$G$34)</f>
        <v>0.10672343734675509</v>
      </c>
      <c r="G19" s="76">
        <f>'IIb. Balances de energía'!$G$45/SUM('IIb. Balances de energía'!$C$45:$G$45)</f>
        <v>0.1323052287646885</v>
      </c>
      <c r="H19" s="81">
        <f>'IIb. Balances de energía'!$G$56/SUM('IIb. Balances de energía'!$C$56:$G$56)</f>
        <v>0.11214395980896369</v>
      </c>
      <c r="I19" s="86">
        <f>'IIb. Balances de energía'!$G$67/SUM('IIb. Balances de energía'!$C$67:$G$67)</f>
        <v>0.16054179828340306</v>
      </c>
      <c r="K19" s="79"/>
      <c r="L19" s="79"/>
      <c r="M19" s="79"/>
      <c r="N19" s="79"/>
      <c r="O19" s="79"/>
      <c r="P19" s="79"/>
    </row>
    <row r="20" spans="1:16" ht="18.75" x14ac:dyDescent="0.2">
      <c r="A20" s="588"/>
      <c r="B20" s="71" t="s">
        <v>13</v>
      </c>
      <c r="C20" s="66" t="s">
        <v>65</v>
      </c>
      <c r="D20" s="76">
        <f>'IIb. Balances de energía'!$C$12/SUM('IIb. Balances de energía'!$C$12:$G$12)*D15</f>
        <v>3.3077918734694525E-2</v>
      </c>
      <c r="E20" s="76">
        <f>'IIb. Balances de energía'!$C$23/SUM('IIb. Balances de energía'!$C$23:$G$23)*E15</f>
        <v>3.592059058602394E-2</v>
      </c>
      <c r="F20" s="76">
        <f>'IIb. Balances de energía'!$C$34/SUM('IIb. Balances de energía'!$C$34:$G$34)*F15</f>
        <v>4.0840027618163625E-2</v>
      </c>
      <c r="G20" s="76">
        <f>'IIb. Balances de energía'!$C$45/SUM('IIb. Balances de energía'!$C$45:$G$45)*G15</f>
        <v>3.878317275125058E-2</v>
      </c>
      <c r="H20" s="81">
        <f>'IIb. Balances de energía'!$C$56/SUM('IIb. Balances de energía'!$C$56:$G$56)*H15</f>
        <v>4.6206772754393888E-2</v>
      </c>
      <c r="I20" s="86">
        <f>'IIb. Balances de energía'!$C$67/SUM('IIb. Balances de energía'!$C$67:$G$67)*I15</f>
        <v>4.9789410349157431E-2</v>
      </c>
      <c r="K20" s="79"/>
      <c r="L20" s="79"/>
      <c r="M20" s="79"/>
      <c r="N20" s="79"/>
      <c r="O20" s="79"/>
      <c r="P20" s="79"/>
    </row>
    <row r="21" spans="1:16" ht="18.75" x14ac:dyDescent="0.2">
      <c r="A21" s="588"/>
      <c r="B21" s="71" t="s">
        <v>12</v>
      </c>
      <c r="C21" s="66" t="s">
        <v>66</v>
      </c>
      <c r="D21" s="76">
        <f>'IIb. Balances de energía'!$D$12/SUM('IIb. Balances de energía'!$C$12:$G$12)*D12+'IIb. Balances de energía'!$C$12/SUM('IIb. Balances de energía'!$C$12:$G$12)*D16</f>
        <v>6.9637582922362232E-2</v>
      </c>
      <c r="E21" s="76">
        <f>'IIb. Balances de energía'!$D$23/SUM('IIb. Balances de energía'!$C$23:$G$23)*E12+'IIb. Balances de energía'!$C$23/SUM('IIb. Balances de energía'!$C$23:$G$23)*E16</f>
        <v>7.3265371293905854E-2</v>
      </c>
      <c r="F21" s="76">
        <f>'IIb. Balances de energía'!$D$34/SUM('IIb. Balances de energía'!$C$34:$G$34)*F12+'IIb. Balances de energía'!$C$34/SUM('IIb. Balances de energía'!$C$34:$G$34)*F16</f>
        <v>8.1887920643897605E-2</v>
      </c>
      <c r="G21" s="76">
        <f>'IIb. Balances de energía'!$D$45/SUM('IIb. Balances de energía'!$C$45:$G$45)*G12+'IIb. Balances de energía'!$C$45/SUM('IIb. Balances de energía'!$C$45:$G$45)*G16</f>
        <v>6.8806404310407909E-2</v>
      </c>
      <c r="H21" s="81">
        <f>'IIb. Balances de energía'!$D$56/SUM('IIb. Balances de energía'!$C$56:$G$56)*H12+'IIb. Balances de energía'!$C$56/SUM('IIb. Balances de energía'!$C$56:$G$56)*H16</f>
        <v>9.3405360686143163E-2</v>
      </c>
      <c r="I21" s="86">
        <f>'IIb. Balances de energía'!$D$67/SUM('IIb. Balances de energía'!$C$67:$G$67)*I12+'IIb. Balances de energía'!$C$67/SUM('IIb. Balances de energía'!$C$67:$G$67)*I16</f>
        <v>8.0725720045594279E-2</v>
      </c>
      <c r="K21" s="79"/>
      <c r="L21" s="79"/>
      <c r="M21" s="79"/>
      <c r="N21" s="79"/>
      <c r="O21" s="79"/>
      <c r="P21" s="79"/>
    </row>
    <row r="22" spans="1:16" ht="18.75" x14ac:dyDescent="0.2">
      <c r="A22" s="588"/>
      <c r="B22" s="71" t="s">
        <v>11</v>
      </c>
      <c r="C22" s="66" t="s">
        <v>67</v>
      </c>
      <c r="D22" s="76">
        <f>'IIb. Balances de energía'!$C$12/SUM('IIb. Balances de energía'!$C$12:$G$12)*D17+'IIb. Balances de energía'!$D$12/SUM('IIb. Balances de energía'!$C$12:$G$12)*D13+'IIb. Balances de energía'!$E$12/SUM('IIb. Balances de energía'!$C$12:$G$12)*D10</f>
        <v>0.28251944523383876</v>
      </c>
      <c r="E22" s="76">
        <f>'IIb. Balances de energía'!$C$23/SUM('IIb. Balances de energía'!$C$23:$G$23)*E17+'IIb. Balances de energía'!$D$23/SUM('IIb. Balances de energía'!$C$23:$G$23)*E13+'IIb. Balances de energía'!$E$23/SUM('IIb. Balances de energía'!$C$23:$G$23)*E10</f>
        <v>0.28033228268699384</v>
      </c>
      <c r="F22" s="76">
        <f>'IIb. Balances de energía'!$C$34/SUM('IIb. Balances de energía'!$C$34:$G$34)*F17+'IIb. Balances de energía'!$D$34/SUM('IIb. Balances de energía'!$C$34:$G$34)*F13+'IIb. Balances de energía'!$E$34/SUM('IIb. Balances de energía'!$C$34:$G$34)*F10</f>
        <v>0.305455937767727</v>
      </c>
      <c r="G22" s="76">
        <f>'IIb. Balances de energía'!$C$45/SUM('IIb. Balances de energía'!$C$45:$G$45)*G17+'IIb. Balances de energía'!$D$45/SUM('IIb. Balances de energía'!$C$45:$G$45)*G13+'IIb. Balances de energía'!$E$45/SUM('IIb. Balances de energía'!$C$45:$G$45)*G10</f>
        <v>0.29911981583024094</v>
      </c>
      <c r="H22" s="81">
        <f>'IIb. Balances de energía'!$C$56/SUM('IIb. Balances de energía'!$C$56:$G$56)*H17+'IIb. Balances de energía'!$D$56/SUM('IIb. Balances de energía'!$C$56:$G$56)*H13+'IIb. Balances de energía'!$E$56/SUM('IIb. Balances de energía'!$C$56:$G$56)*H10</f>
        <v>0.31135412878827556</v>
      </c>
      <c r="I22" s="86">
        <f>'IIb. Balances de energía'!$C$67/SUM('IIb. Balances de energía'!$C$67:$G$67)*I17+'IIb. Balances de energía'!$D$67/SUM('IIb. Balances de energía'!$C$67:$G$67)*I13+'IIb. Balances de energía'!$E$67/SUM('IIb. Balances de energía'!$C$67:$G$67)*I10</f>
        <v>0.26922038115590829</v>
      </c>
      <c r="K22" s="79"/>
      <c r="L22" s="79"/>
      <c r="M22" s="79"/>
      <c r="N22" s="79"/>
      <c r="O22" s="79"/>
      <c r="P22" s="79"/>
    </row>
    <row r="23" spans="1:16" ht="19.5" thickBot="1" x14ac:dyDescent="0.25">
      <c r="A23" s="589"/>
      <c r="B23" s="73" t="s">
        <v>10</v>
      </c>
      <c r="C23" s="68" t="s">
        <v>68</v>
      </c>
      <c r="D23" s="78">
        <f>'IIb. Balances de energía'!$C$12/SUM('IIb. Balances de energía'!$C$12:$G$12)*D18+'IIb. Balances de energía'!$D$12/SUM('IIb. Balances de energía'!$C$12:$G$12)*D14+'IIb. Balances de energía'!$E$12/SUM('IIb. Balances de energía'!$C$12:$G$12)*D11+'IIb. Balances de energía'!$F$12/SUM('IIb. Balances de energía'!$C$12:$G$12)</f>
        <v>0.52145360425661469</v>
      </c>
      <c r="E23" s="78">
        <f>'IIb. Balances de energía'!$C$23/SUM('IIb. Balances de energía'!$C$23:$G$23)*E18+'IIb. Balances de energía'!$D$23/SUM('IIb. Balances de energía'!$C$23:$G$23)*E14+'IIb. Balances de energía'!$E$23/SUM('IIb. Balances de energía'!$C$23:$G$23)*E11+'IIb. Balances de energía'!$F$23/SUM('IIb. Balances de energía'!$C$23:$G$23)</f>
        <v>0.5043609402209841</v>
      </c>
      <c r="F23" s="78">
        <f>'IIb. Balances de energía'!$C$34/SUM('IIb. Balances de energía'!$C$34:$G$34)*F18+'IIb. Balances de energía'!$D$34/SUM('IIb. Balances de energía'!$C$34:$G$34)*F14+'IIb. Balances de energía'!$E$34/SUM('IIb. Balances de energía'!$C$34:$G$34)*F11+'IIb. Balances de energía'!$F$34/SUM('IIb. Balances de energía'!$C$34:$G$34)</f>
        <v>0.46509267662345666</v>
      </c>
      <c r="G23" s="78">
        <f>'IIb. Balances de energía'!$C$45/SUM('IIb. Balances de energía'!$C$45:$G$45)*G18+'IIb. Balances de energía'!$D$45/SUM('IIb. Balances de energía'!$C$45:$G$45)*G14+'IIb. Balances de energía'!$E$45/SUM('IIb. Balances de energía'!$C$45:$G$45)*G11+'IIb. Balances de energía'!$F$45/SUM('IIb. Balances de energía'!$C$45:$G$45)</f>
        <v>0.46098537834341191</v>
      </c>
      <c r="H23" s="83">
        <f>'IIb. Balances de energía'!$C$56/SUM('IIb. Balances de energía'!$C$56:$G$56)*H18+'IIb. Balances de energía'!$D$56/SUM('IIb. Balances de energía'!$C$56:$G$56)*H14+'IIb. Balances de energía'!$E$56/SUM('IIb. Balances de energía'!$C$56:$G$56)*H11+'IIb. Balances de energía'!$F$56/SUM('IIb. Balances de energía'!$C$56:$G$56)</f>
        <v>0.43688977796222372</v>
      </c>
      <c r="I23" s="88">
        <f>'IIb. Balances de energía'!$C$67/SUM('IIb. Balances de energía'!$C$67:$G$67)*I18+'IIb. Balances de energía'!$D$67/SUM('IIb. Balances de energía'!$C$67:$G$67)*I14+'IIb. Balances de energía'!$E$67/SUM('IIb. Balances de energía'!$C$67:$G$67)*I11+'IIb. Balances de energía'!$F$67/SUM('IIb. Balances de energía'!$C$67:$G$67)</f>
        <v>0.4397226901659369</v>
      </c>
      <c r="K23" s="79"/>
      <c r="L23" s="79"/>
      <c r="M23" s="79"/>
      <c r="N23" s="79"/>
      <c r="O23" s="79"/>
      <c r="P23" s="79"/>
    </row>
    <row r="25" spans="1:16" x14ac:dyDescent="0.2">
      <c r="D25" s="84"/>
      <c r="E25" s="84"/>
      <c r="F25" s="84"/>
      <c r="G25" s="84"/>
      <c r="H25" s="84"/>
      <c r="I25" s="84"/>
    </row>
  </sheetData>
  <mergeCells count="5">
    <mergeCell ref="A10:A11"/>
    <mergeCell ref="A12:A14"/>
    <mergeCell ref="A15:A18"/>
    <mergeCell ref="A19:A23"/>
    <mergeCell ref="A6:I6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9A9C7-2986-4A45-BE89-EF699B2399DF}">
  <dimension ref="A1:R99"/>
  <sheetViews>
    <sheetView showGridLines="0" workbookViewId="0">
      <selection activeCell="C87" sqref="C87"/>
    </sheetView>
  </sheetViews>
  <sheetFormatPr baseColWidth="10" defaultColWidth="11.42578125" defaultRowHeight="12.75" x14ac:dyDescent="0.2"/>
  <cols>
    <col min="1" max="1" width="13.85546875" style="90" customWidth="1"/>
    <col min="2" max="8" width="13.7109375" style="90" customWidth="1"/>
    <col min="9" max="9" width="11.85546875" style="90" bestFit="1" customWidth="1"/>
    <col min="10" max="10" width="13.85546875" style="90" bestFit="1" customWidth="1"/>
    <col min="11" max="11" width="11.42578125" style="90"/>
    <col min="12" max="12" width="11.85546875" style="90" bestFit="1" customWidth="1"/>
    <col min="13" max="16384" width="11.42578125" style="90"/>
  </cols>
  <sheetData>
    <row r="1" spans="1:10" s="1" customFormat="1" x14ac:dyDescent="0.2"/>
    <row r="2" spans="1:10" s="1" customFormat="1" x14ac:dyDescent="0.2"/>
    <row r="3" spans="1:10" s="1" customFormat="1" x14ac:dyDescent="0.2"/>
    <row r="4" spans="1:10" s="1" customFormat="1" x14ac:dyDescent="0.2"/>
    <row r="5" spans="1:10" s="1" customFormat="1" x14ac:dyDescent="0.2"/>
    <row r="6" spans="1:10" s="386" customFormat="1" ht="30" customHeight="1" x14ac:dyDescent="0.2">
      <c r="A6" s="386" t="s">
        <v>187</v>
      </c>
    </row>
    <row r="7" spans="1:10" ht="7.5" customHeight="1" thickBot="1" x14ac:dyDescent="0.25"/>
    <row r="8" spans="1:10" ht="24" customHeight="1" x14ac:dyDescent="0.2">
      <c r="D8" s="100" t="s">
        <v>24</v>
      </c>
      <c r="E8" s="102" t="s">
        <v>82</v>
      </c>
      <c r="F8" s="103"/>
      <c r="G8" s="103"/>
      <c r="H8" s="104"/>
      <c r="J8" s="595" t="s">
        <v>91</v>
      </c>
    </row>
    <row r="9" spans="1:10" ht="24" customHeight="1" thickBot="1" x14ac:dyDescent="0.25">
      <c r="D9" s="101" t="s">
        <v>14</v>
      </c>
      <c r="E9" s="105" t="s">
        <v>13</v>
      </c>
      <c r="F9" s="106" t="s">
        <v>83</v>
      </c>
      <c r="G9" s="106" t="s">
        <v>84</v>
      </c>
      <c r="H9" s="107" t="s">
        <v>10</v>
      </c>
      <c r="J9" s="596"/>
    </row>
    <row r="10" spans="1:10" s="91" customFormat="1" ht="42" customHeight="1" x14ac:dyDescent="0.2">
      <c r="A10" s="605" t="s">
        <v>85</v>
      </c>
      <c r="B10" s="606"/>
      <c r="C10" s="607"/>
      <c r="D10" s="92">
        <f>'I. Datos de entrada'!C14</f>
        <v>1413259.7026135037</v>
      </c>
      <c r="E10" s="93">
        <f>'I. Datos de entrada'!$C$29*E11</f>
        <v>499280.78566244984</v>
      </c>
      <c r="F10" s="94">
        <f>'I. Datos de entrada'!$C$29*F11</f>
        <v>610173.67595168867</v>
      </c>
      <c r="G10" s="94">
        <f>'I. Datos de entrada'!$C$29*G11</f>
        <v>2132191.734139536</v>
      </c>
      <c r="H10" s="95">
        <f>'I. Datos de entrada'!$C$29*H11</f>
        <v>2013941.0217457977</v>
      </c>
      <c r="J10" s="148">
        <f>SUM(D10:H10)</f>
        <v>6668846.9201129749</v>
      </c>
    </row>
    <row r="11" spans="1:10" s="28" customFormat="1" ht="42" customHeight="1" thickBot="1" x14ac:dyDescent="0.25">
      <c r="A11" s="608" t="s">
        <v>86</v>
      </c>
      <c r="B11" s="609"/>
      <c r="C11" s="610"/>
      <c r="D11" s="96">
        <v>1</v>
      </c>
      <c r="E11" s="97">
        <f>'I. Datos de entrada'!B43</f>
        <v>9.5000000000000001E-2</v>
      </c>
      <c r="F11" s="98">
        <f>'I. Datos de entrada'!B42</f>
        <v>0.11609999999999999</v>
      </c>
      <c r="G11" s="98">
        <f>'I. Datos de entrada'!B41</f>
        <v>0.40570000000000001</v>
      </c>
      <c r="H11" s="99">
        <f>'I. Datos de entrada'!B40</f>
        <v>0.38319999999999999</v>
      </c>
      <c r="J11" s="147"/>
    </row>
    <row r="14" spans="1:10" s="386" customFormat="1" ht="30" customHeight="1" x14ac:dyDescent="0.2">
      <c r="A14" s="386" t="s">
        <v>188</v>
      </c>
    </row>
    <row r="15" spans="1:10" ht="13.5" thickBot="1" x14ac:dyDescent="0.25"/>
    <row r="16" spans="1:10" ht="24" customHeight="1" x14ac:dyDescent="0.2">
      <c r="D16" s="100" t="s">
        <v>24</v>
      </c>
      <c r="E16" s="102" t="s">
        <v>82</v>
      </c>
      <c r="F16" s="103"/>
      <c r="G16" s="103"/>
      <c r="H16" s="104"/>
      <c r="J16" s="595" t="s">
        <v>91</v>
      </c>
    </row>
    <row r="17" spans="1:12" ht="24" customHeight="1" thickBot="1" x14ac:dyDescent="0.25">
      <c r="D17" s="143" t="s">
        <v>14</v>
      </c>
      <c r="E17" s="144" t="s">
        <v>13</v>
      </c>
      <c r="F17" s="145" t="s">
        <v>83</v>
      </c>
      <c r="G17" s="145" t="s">
        <v>84</v>
      </c>
      <c r="H17" s="146" t="s">
        <v>10</v>
      </c>
      <c r="J17" s="596"/>
    </row>
    <row r="18" spans="1:12" ht="13.5" thickBot="1" x14ac:dyDescent="0.25"/>
    <row r="19" spans="1:12" ht="45.75" customHeight="1" x14ac:dyDescent="0.2">
      <c r="A19" s="599" t="s">
        <v>87</v>
      </c>
      <c r="B19" s="600"/>
      <c r="C19" s="601"/>
      <c r="D19" s="109">
        <f>'I. Datos de entrada'!$B$58</f>
        <v>0.75</v>
      </c>
      <c r="E19" s="110">
        <f>'I. Datos de entrada'!$B$57</f>
        <v>0.75</v>
      </c>
      <c r="F19" s="110">
        <f>'I. Datos de entrada'!$B$56</f>
        <v>0.75</v>
      </c>
      <c r="G19" s="110">
        <f>'I. Datos de entrada'!$B$55</f>
        <v>0.75</v>
      </c>
      <c r="H19" s="111">
        <f>'I. Datos de entrada'!$B$54</f>
        <v>1</v>
      </c>
      <c r="J19" s="112">
        <f>J20/SUM(D10:H10)</f>
        <v>0.82549809756735593</v>
      </c>
    </row>
    <row r="20" spans="1:12" ht="42.75" customHeight="1" thickBot="1" x14ac:dyDescent="0.25">
      <c r="A20" s="602" t="s">
        <v>88</v>
      </c>
      <c r="B20" s="603"/>
      <c r="C20" s="604"/>
      <c r="D20" s="113">
        <f>D10*D19</f>
        <v>1059944.7769601278</v>
      </c>
      <c r="E20" s="114">
        <f>E10*E19</f>
        <v>374460.58924683736</v>
      </c>
      <c r="F20" s="114">
        <f>F10*F19</f>
        <v>457630.25696376653</v>
      </c>
      <c r="G20" s="114">
        <f>G10*G19</f>
        <v>1599143.8006046521</v>
      </c>
      <c r="H20" s="115">
        <f>H10*H19</f>
        <v>2013941.0217457977</v>
      </c>
      <c r="J20" s="116">
        <f>SUM(D20:H20)</f>
        <v>5505120.4455211814</v>
      </c>
    </row>
    <row r="21" spans="1:12" ht="9.75" customHeight="1" thickBot="1" x14ac:dyDescent="0.25">
      <c r="A21" s="117"/>
      <c r="D21" s="117"/>
      <c r="E21" s="117"/>
      <c r="F21" s="117"/>
      <c r="G21" s="117"/>
      <c r="H21" s="117"/>
      <c r="J21" s="117"/>
    </row>
    <row r="22" spans="1:12" ht="43.5" customHeight="1" x14ac:dyDescent="0.2">
      <c r="A22" s="599" t="s">
        <v>89</v>
      </c>
      <c r="B22" s="600"/>
      <c r="C22" s="601"/>
      <c r="D22" s="109">
        <f>1-D19</f>
        <v>0.25</v>
      </c>
      <c r="E22" s="110">
        <f>1-E19</f>
        <v>0.25</v>
      </c>
      <c r="F22" s="110">
        <f>1-F19</f>
        <v>0.25</v>
      </c>
      <c r="G22" s="110">
        <f>1-G19</f>
        <v>0.25</v>
      </c>
      <c r="H22" s="111">
        <f>1-H19</f>
        <v>0</v>
      </c>
      <c r="J22" s="112">
        <f>J23/SUM(D10:H10)</f>
        <v>0.17450190243264424</v>
      </c>
    </row>
    <row r="23" spans="1:12" ht="51.75" customHeight="1" thickBot="1" x14ac:dyDescent="0.25">
      <c r="A23" s="602" t="s">
        <v>90</v>
      </c>
      <c r="B23" s="603"/>
      <c r="C23" s="604"/>
      <c r="D23" s="113">
        <f>D10*D22</f>
        <v>353314.92565337592</v>
      </c>
      <c r="E23" s="114">
        <f>E10*E22</f>
        <v>124820.19641561246</v>
      </c>
      <c r="F23" s="114">
        <f>F10*F22</f>
        <v>152543.41898792217</v>
      </c>
      <c r="G23" s="114">
        <f>G10*G22</f>
        <v>533047.93353488401</v>
      </c>
      <c r="H23" s="115">
        <f>H10*H22</f>
        <v>0</v>
      </c>
      <c r="J23" s="116">
        <f>SUM(D23:H23)</f>
        <v>1163726.4745917944</v>
      </c>
    </row>
    <row r="26" spans="1:12" s="386" customFormat="1" ht="30" customHeight="1" x14ac:dyDescent="0.2">
      <c r="A26" s="386" t="s">
        <v>189</v>
      </c>
    </row>
    <row r="28" spans="1:12" s="388" customFormat="1" ht="16.5" x14ac:dyDescent="0.25">
      <c r="A28" s="387" t="s">
        <v>195</v>
      </c>
    </row>
    <row r="29" spans="1:12" ht="13.5" thickBot="1" x14ac:dyDescent="0.25"/>
    <row r="30" spans="1:12" ht="30" customHeight="1" thickBot="1" x14ac:dyDescent="0.25">
      <c r="B30" s="118" t="s">
        <v>94</v>
      </c>
      <c r="C30" s="119"/>
      <c r="D30" s="120"/>
      <c r="E30" s="120"/>
      <c r="F30" s="119"/>
      <c r="H30" s="118" t="s">
        <v>92</v>
      </c>
      <c r="I30" s="119"/>
      <c r="J30" s="120"/>
      <c r="K30" s="120"/>
      <c r="L30" s="119"/>
    </row>
    <row r="31" spans="1:12" ht="6.75" customHeight="1" thickBot="1" x14ac:dyDescent="0.25"/>
    <row r="32" spans="1:12" ht="21" customHeight="1" x14ac:dyDescent="0.2">
      <c r="A32" s="597" t="s">
        <v>93</v>
      </c>
      <c r="B32" s="154" t="s">
        <v>0</v>
      </c>
      <c r="C32" s="121"/>
      <c r="D32" s="121"/>
      <c r="E32" s="121"/>
      <c r="F32" s="122"/>
      <c r="H32" s="123" t="s">
        <v>0</v>
      </c>
      <c r="I32" s="121"/>
      <c r="J32" s="121"/>
      <c r="K32" s="121"/>
      <c r="L32" s="122"/>
    </row>
    <row r="33" spans="1:12" ht="21" customHeight="1" x14ac:dyDescent="0.2">
      <c r="A33" s="598"/>
      <c r="B33" s="155">
        <v>0</v>
      </c>
      <c r="C33" s="124">
        <v>1</v>
      </c>
      <c r="D33" s="124">
        <v>2</v>
      </c>
      <c r="E33" s="124">
        <v>3</v>
      </c>
      <c r="F33" s="125">
        <v>4</v>
      </c>
      <c r="H33" s="126">
        <v>0</v>
      </c>
      <c r="I33" s="124">
        <v>1</v>
      </c>
      <c r="J33" s="124">
        <v>2</v>
      </c>
      <c r="K33" s="124">
        <v>3</v>
      </c>
      <c r="L33" s="125">
        <v>4</v>
      </c>
    </row>
    <row r="34" spans="1:12" ht="18" customHeight="1" x14ac:dyDescent="0.2">
      <c r="A34" s="151" t="s">
        <v>15</v>
      </c>
      <c r="B34" s="149">
        <f>'I. Datos de entrada'!B69</f>
        <v>0.34882558720639678</v>
      </c>
      <c r="C34" s="127">
        <f>'I. Datos de entrada'!C69</f>
        <v>0.35199999999999998</v>
      </c>
      <c r="D34" s="127">
        <f>'I. Datos de entrada'!D69</f>
        <v>0.34399999999999997</v>
      </c>
      <c r="E34" s="127">
        <f>'I. Datos de entrada'!E69</f>
        <v>0.34699999999999998</v>
      </c>
      <c r="F34" s="128">
        <f>'I. Datos de entrada'!F69</f>
        <v>0.34399999999999997</v>
      </c>
      <c r="H34" s="129">
        <f>H$20*B34</f>
        <v>702514.15950952854</v>
      </c>
      <c r="I34" s="130">
        <f>G$20*C34</f>
        <v>562898.61781283747</v>
      </c>
      <c r="J34" s="130">
        <f t="shared" ref="J34:J39" si="0">F$20*D34</f>
        <v>157424.80839553569</v>
      </c>
      <c r="K34" s="130">
        <f t="shared" ref="K34:K39" si="1">E$20*E34</f>
        <v>129937.82446865256</v>
      </c>
      <c r="L34" s="131">
        <f t="shared" ref="L34:L39" si="2">D$20*F34</f>
        <v>364621.0032742839</v>
      </c>
    </row>
    <row r="35" spans="1:12" ht="18" customHeight="1" x14ac:dyDescent="0.2">
      <c r="A35" s="152" t="s">
        <v>16</v>
      </c>
      <c r="B35" s="149">
        <f>'I. Datos de entrada'!B70</f>
        <v>0.32333833083458269</v>
      </c>
      <c r="C35" s="127">
        <f>'I. Datos de entrada'!C70</f>
        <v>0.33800000000000002</v>
      </c>
      <c r="D35" s="127">
        <f>'I. Datos de entrada'!D70</f>
        <v>0.33350000000000002</v>
      </c>
      <c r="E35" s="127">
        <f>'I. Datos de entrada'!E70</f>
        <v>0.34749999999999998</v>
      </c>
      <c r="F35" s="128">
        <f>'I. Datos de entrada'!F70</f>
        <v>0.33700000000000002</v>
      </c>
      <c r="H35" s="129">
        <f t="shared" ref="H35:H39" si="3">H$20*B35</f>
        <v>651184.32837058022</v>
      </c>
      <c r="I35" s="130">
        <f t="shared" ref="I35:I39" si="4">G$20*C35</f>
        <v>540510.60460437241</v>
      </c>
      <c r="J35" s="130">
        <f t="shared" si="0"/>
        <v>152619.69069741614</v>
      </c>
      <c r="K35" s="130">
        <f t="shared" si="1"/>
        <v>130125.05476327597</v>
      </c>
      <c r="L35" s="131">
        <f t="shared" si="2"/>
        <v>357201.38983556308</v>
      </c>
    </row>
    <row r="36" spans="1:12" ht="18" customHeight="1" x14ac:dyDescent="0.2">
      <c r="A36" s="152" t="s">
        <v>17</v>
      </c>
      <c r="B36" s="149">
        <f>'I. Datos de entrada'!B71</f>
        <v>0.11344327836081959</v>
      </c>
      <c r="C36" s="127">
        <f>'I. Datos de entrada'!C71</f>
        <v>0.16450000000000001</v>
      </c>
      <c r="D36" s="127">
        <f>'I. Datos de entrada'!D71</f>
        <v>0.13450000000000001</v>
      </c>
      <c r="E36" s="127">
        <f>'I. Datos de entrada'!E71</f>
        <v>0.17849999999999999</v>
      </c>
      <c r="F36" s="128">
        <f>'I. Datos de entrada'!F71</f>
        <v>0.158</v>
      </c>
      <c r="H36" s="129">
        <f t="shared" si="3"/>
        <v>228468.07193218195</v>
      </c>
      <c r="I36" s="130">
        <f t="shared" si="4"/>
        <v>263059.15519946528</v>
      </c>
      <c r="J36" s="130">
        <f t="shared" si="0"/>
        <v>61551.269561626599</v>
      </c>
      <c r="K36" s="130">
        <f t="shared" si="1"/>
        <v>66841.215180560466</v>
      </c>
      <c r="L36" s="131">
        <f t="shared" si="2"/>
        <v>167471.27475970017</v>
      </c>
    </row>
    <row r="37" spans="1:12" ht="18" customHeight="1" x14ac:dyDescent="0.2">
      <c r="A37" s="152" t="s">
        <v>18</v>
      </c>
      <c r="B37" s="149">
        <f>'I. Datos de entrada'!B72</f>
        <v>8.395802098950525E-2</v>
      </c>
      <c r="C37" s="127">
        <f>'I. Datos de entrada'!C72</f>
        <v>0.124</v>
      </c>
      <c r="D37" s="127">
        <f>'I. Datos de entrada'!D72</f>
        <v>0.17100000000000001</v>
      </c>
      <c r="E37" s="127">
        <f>'I. Datos de entrada'!E72</f>
        <v>6.6500000000000004E-2</v>
      </c>
      <c r="F37" s="128">
        <f>'I. Datos de entrada'!F72</f>
        <v>0.1235</v>
      </c>
      <c r="H37" s="129">
        <f t="shared" si="3"/>
        <v>169086.50257535934</v>
      </c>
      <c r="I37" s="130">
        <f t="shared" si="4"/>
        <v>198293.83127497687</v>
      </c>
      <c r="J37" s="130">
        <f t="shared" si="0"/>
        <v>78254.77394080408</v>
      </c>
      <c r="K37" s="130">
        <f t="shared" si="1"/>
        <v>24901.629184914687</v>
      </c>
      <c r="L37" s="131">
        <f t="shared" si="2"/>
        <v>130903.17995457578</v>
      </c>
    </row>
    <row r="38" spans="1:12" ht="18" customHeight="1" x14ac:dyDescent="0.2">
      <c r="A38" s="152" t="s">
        <v>19</v>
      </c>
      <c r="B38" s="149">
        <f>'I. Datos de entrada'!B73</f>
        <v>4.9975012493753122E-4</v>
      </c>
      <c r="C38" s="499">
        <f>'I. Datos de entrada'!C73</f>
        <v>5.0000000000000001E-4</v>
      </c>
      <c r="D38" s="499">
        <f>'I. Datos de entrada'!D73</f>
        <v>5.0000000000000001E-4</v>
      </c>
      <c r="E38" s="127">
        <f>'I. Datos de entrada'!E73</f>
        <v>6.4999999999999997E-3</v>
      </c>
      <c r="F38" s="128">
        <f>'I. Datos de entrada'!F73</f>
        <v>2E-3</v>
      </c>
      <c r="H38" s="129">
        <f t="shared" si="3"/>
        <v>1006.4672772342817</v>
      </c>
      <c r="I38" s="130">
        <f>G$20*C38</f>
        <v>799.57190030232607</v>
      </c>
      <c r="J38" s="130">
        <f t="shared" si="0"/>
        <v>228.81512848188328</v>
      </c>
      <c r="K38" s="130">
        <f t="shared" si="1"/>
        <v>2433.9938301044426</v>
      </c>
      <c r="L38" s="131">
        <f t="shared" si="2"/>
        <v>2119.8895539202554</v>
      </c>
    </row>
    <row r="39" spans="1:12" ht="18" customHeight="1" thickBot="1" x14ac:dyDescent="0.25">
      <c r="A39" s="153" t="s">
        <v>20</v>
      </c>
      <c r="B39" s="150">
        <f>'I. Datos de entrada'!B74</f>
        <v>0.12993503248375812</v>
      </c>
      <c r="C39" s="132">
        <f>'I. Datos de entrada'!C74</f>
        <v>2.1000000000000001E-2</v>
      </c>
      <c r="D39" s="132">
        <f>'I. Datos de entrada'!D74</f>
        <v>1.6500000000000001E-2</v>
      </c>
      <c r="E39" s="132">
        <f>'I. Datos de entrada'!E74</f>
        <v>5.3999999999999999E-2</v>
      </c>
      <c r="F39" s="133">
        <f>'I. Datos de entrada'!F74</f>
        <v>3.5499999999999997E-2</v>
      </c>
      <c r="H39" s="134">
        <f t="shared" si="3"/>
        <v>261681.49208091325</v>
      </c>
      <c r="I39" s="135">
        <f t="shared" si="4"/>
        <v>33582.019812697697</v>
      </c>
      <c r="J39" s="135">
        <f t="shared" si="0"/>
        <v>7550.8992399021481</v>
      </c>
      <c r="K39" s="135">
        <f t="shared" si="1"/>
        <v>20220.871819329219</v>
      </c>
      <c r="L39" s="136">
        <f t="shared" si="2"/>
        <v>37628.03958208453</v>
      </c>
    </row>
    <row r="40" spans="1:12" ht="5.0999999999999996" customHeight="1" thickBot="1" x14ac:dyDescent="0.25">
      <c r="B40" s="137"/>
      <c r="C40" s="137"/>
      <c r="D40" s="137"/>
      <c r="E40" s="137"/>
      <c r="F40" s="137"/>
      <c r="H40" s="138"/>
      <c r="I40" s="138"/>
      <c r="J40" s="138"/>
      <c r="K40" s="138"/>
      <c r="L40" s="138"/>
    </row>
    <row r="41" spans="1:12" ht="18" customHeight="1" thickBot="1" x14ac:dyDescent="0.25">
      <c r="A41" s="58" t="s">
        <v>1</v>
      </c>
      <c r="B41" s="156">
        <f>SUM(B34:B40)</f>
        <v>1</v>
      </c>
      <c r="C41" s="139">
        <f>SUM(C34:C40)</f>
        <v>0.99999999999999989</v>
      </c>
      <c r="D41" s="139">
        <f>SUM(D34:D40)</f>
        <v>1</v>
      </c>
      <c r="E41" s="139">
        <f>SUM(E34:E40)</f>
        <v>0.99999999999999989</v>
      </c>
      <c r="F41" s="38">
        <f>SUM(F34:F40)</f>
        <v>1.0000000000000002</v>
      </c>
      <c r="H41" s="140">
        <f>SUM(H34:H39)</f>
        <v>2013941.0217457975</v>
      </c>
      <c r="I41" s="141">
        <f t="shared" ref="I41:L41" si="5">SUM(I34:I39)</f>
        <v>1599143.8006046521</v>
      </c>
      <c r="J41" s="141">
        <f t="shared" si="5"/>
        <v>457630.25696376653</v>
      </c>
      <c r="K41" s="141">
        <f t="shared" si="5"/>
        <v>374460.58924683731</v>
      </c>
      <c r="L41" s="142">
        <f t="shared" si="5"/>
        <v>1059944.7769601278</v>
      </c>
    </row>
    <row r="44" spans="1:12" s="388" customFormat="1" ht="16.5" x14ac:dyDescent="0.25">
      <c r="A44" s="387" t="s">
        <v>196</v>
      </c>
    </row>
    <row r="45" spans="1:12" ht="13.5" thickBot="1" x14ac:dyDescent="0.25"/>
    <row r="46" spans="1:12" ht="30" customHeight="1" thickBot="1" x14ac:dyDescent="0.25">
      <c r="B46" s="118" t="s">
        <v>94</v>
      </c>
      <c r="C46" s="119"/>
      <c r="D46" s="120"/>
      <c r="E46" s="120"/>
      <c r="F46" s="119"/>
      <c r="H46" s="118" t="s">
        <v>92</v>
      </c>
      <c r="I46" s="119"/>
      <c r="J46" s="120"/>
      <c r="K46" s="120"/>
      <c r="L46" s="119"/>
    </row>
    <row r="47" spans="1:12" ht="6.75" customHeight="1" thickBot="1" x14ac:dyDescent="0.25"/>
    <row r="48" spans="1:12" ht="21" customHeight="1" x14ac:dyDescent="0.2">
      <c r="A48" s="597" t="s">
        <v>93</v>
      </c>
      <c r="B48" s="154" t="s">
        <v>0</v>
      </c>
      <c r="C48" s="121"/>
      <c r="D48" s="121"/>
      <c r="E48" s="121"/>
      <c r="F48" s="122"/>
      <c r="H48" s="123" t="s">
        <v>0</v>
      </c>
      <c r="I48" s="121"/>
      <c r="J48" s="121"/>
      <c r="K48" s="121"/>
      <c r="L48" s="122"/>
    </row>
    <row r="49" spans="1:15" ht="21" customHeight="1" x14ac:dyDescent="0.2">
      <c r="A49" s="598"/>
      <c r="B49" s="155">
        <v>0</v>
      </c>
      <c r="C49" s="124">
        <v>1</v>
      </c>
      <c r="D49" s="124">
        <v>2</v>
      </c>
      <c r="E49" s="124">
        <v>3</v>
      </c>
      <c r="F49" s="125">
        <v>4</v>
      </c>
      <c r="H49" s="126">
        <v>0</v>
      </c>
      <c r="I49" s="124">
        <v>1</v>
      </c>
      <c r="J49" s="124">
        <v>2</v>
      </c>
      <c r="K49" s="124">
        <v>3</v>
      </c>
      <c r="L49" s="125">
        <v>4</v>
      </c>
    </row>
    <row r="50" spans="1:15" ht="18" customHeight="1" x14ac:dyDescent="0.2">
      <c r="A50" s="151" t="s">
        <v>15</v>
      </c>
      <c r="B50" s="149">
        <f>'I. Datos de entrada'!B85</f>
        <v>0.34882558720639678</v>
      </c>
      <c r="C50" s="127">
        <f>'I. Datos de entrada'!C85</f>
        <v>0.35199999999999998</v>
      </c>
      <c r="D50" s="127">
        <f>'I. Datos de entrada'!D85</f>
        <v>0.34399999999999997</v>
      </c>
      <c r="E50" s="127">
        <f>'I. Datos de entrada'!E85</f>
        <v>0.34699999999999998</v>
      </c>
      <c r="F50" s="128">
        <f>'I. Datos de entrada'!F85</f>
        <v>0.34399999999999997</v>
      </c>
      <c r="H50" s="129">
        <f t="shared" ref="H50:H55" si="6">H$23*B50</f>
        <v>0</v>
      </c>
      <c r="I50" s="130">
        <f t="shared" ref="I50:I55" si="7">G$23*C50</f>
        <v>187632.87260427917</v>
      </c>
      <c r="J50" s="130">
        <f t="shared" ref="J50:J55" si="8">F$23*D50</f>
        <v>52474.936131845221</v>
      </c>
      <c r="K50" s="130">
        <f t="shared" ref="K50:K55" si="9">E$23*E50</f>
        <v>43312.608156217517</v>
      </c>
      <c r="L50" s="131">
        <f t="shared" ref="L50:L55" si="10">D$23*F50</f>
        <v>121540.33442476131</v>
      </c>
    </row>
    <row r="51" spans="1:15" ht="18" customHeight="1" x14ac:dyDescent="0.2">
      <c r="A51" s="152" t="s">
        <v>16</v>
      </c>
      <c r="B51" s="149">
        <f>'I. Datos de entrada'!B86</f>
        <v>0.32333833083458269</v>
      </c>
      <c r="C51" s="127">
        <f>'I. Datos de entrada'!C86</f>
        <v>0.33800000000000002</v>
      </c>
      <c r="D51" s="127">
        <f>'I. Datos de entrada'!D86</f>
        <v>0.33350000000000002</v>
      </c>
      <c r="E51" s="127">
        <f>'I. Datos de entrada'!E86</f>
        <v>0.34749999999999998</v>
      </c>
      <c r="F51" s="128">
        <f>'I. Datos de entrada'!F86</f>
        <v>0.33700000000000002</v>
      </c>
      <c r="H51" s="129">
        <f t="shared" si="6"/>
        <v>0</v>
      </c>
      <c r="I51" s="130">
        <f t="shared" si="7"/>
        <v>180170.2015347908</v>
      </c>
      <c r="J51" s="130">
        <f t="shared" si="8"/>
        <v>50873.230232472044</v>
      </c>
      <c r="K51" s="130">
        <f t="shared" si="9"/>
        <v>43375.018254425326</v>
      </c>
      <c r="L51" s="131">
        <f t="shared" si="10"/>
        <v>119067.1299451877</v>
      </c>
    </row>
    <row r="52" spans="1:15" ht="18" customHeight="1" x14ac:dyDescent="0.2">
      <c r="A52" s="152" t="s">
        <v>17</v>
      </c>
      <c r="B52" s="149">
        <f>'I. Datos de entrada'!B87</f>
        <v>0.11344327836081959</v>
      </c>
      <c r="C52" s="127">
        <f>'I. Datos de entrada'!C87</f>
        <v>0.16450000000000001</v>
      </c>
      <c r="D52" s="127">
        <f>'I. Datos de entrada'!D87</f>
        <v>0.13450000000000001</v>
      </c>
      <c r="E52" s="127">
        <f>'I. Datos de entrada'!E87</f>
        <v>0.17849999999999999</v>
      </c>
      <c r="F52" s="128">
        <f>'I. Datos de entrada'!F87</f>
        <v>0.158</v>
      </c>
      <c r="H52" s="129">
        <f t="shared" si="6"/>
        <v>0</v>
      </c>
      <c r="I52" s="130">
        <f t="shared" si="7"/>
        <v>87686.385066488423</v>
      </c>
      <c r="J52" s="130">
        <f t="shared" si="8"/>
        <v>20517.089853875532</v>
      </c>
      <c r="K52" s="130">
        <f t="shared" si="9"/>
        <v>22280.405060186822</v>
      </c>
      <c r="L52" s="131">
        <f t="shared" si="10"/>
        <v>55823.758253233398</v>
      </c>
    </row>
    <row r="53" spans="1:15" ht="18" customHeight="1" x14ac:dyDescent="0.2">
      <c r="A53" s="152" t="s">
        <v>18</v>
      </c>
      <c r="B53" s="149">
        <f>'I. Datos de entrada'!B88</f>
        <v>8.395802098950525E-2</v>
      </c>
      <c r="C53" s="127">
        <f>'I. Datos de entrada'!C88</f>
        <v>0.124</v>
      </c>
      <c r="D53" s="127">
        <f>'I. Datos de entrada'!D88</f>
        <v>0.17100000000000001</v>
      </c>
      <c r="E53" s="127">
        <f>'I. Datos de entrada'!E88</f>
        <v>6.6500000000000004E-2</v>
      </c>
      <c r="F53" s="128">
        <f>'I. Datos de entrada'!F88</f>
        <v>0.1235</v>
      </c>
      <c r="H53" s="129">
        <f t="shared" si="6"/>
        <v>0</v>
      </c>
      <c r="I53" s="130">
        <f t="shared" si="7"/>
        <v>66097.943758325622</v>
      </c>
      <c r="J53" s="130">
        <f t="shared" si="8"/>
        <v>26084.924646934691</v>
      </c>
      <c r="K53" s="130">
        <f t="shared" si="9"/>
        <v>8300.5430616382291</v>
      </c>
      <c r="L53" s="131">
        <f t="shared" si="10"/>
        <v>43634.393318191927</v>
      </c>
    </row>
    <row r="54" spans="1:15" ht="18" customHeight="1" x14ac:dyDescent="0.2">
      <c r="A54" s="152" t="s">
        <v>19</v>
      </c>
      <c r="B54" s="149">
        <f>'I. Datos de entrada'!B89</f>
        <v>4.9975012493753122E-4</v>
      </c>
      <c r="C54" s="127">
        <f>'I. Datos de entrada'!C89</f>
        <v>5.0000000000000001E-4</v>
      </c>
      <c r="D54" s="127">
        <f>'I. Datos de entrada'!D89</f>
        <v>5.0000000000000001E-4</v>
      </c>
      <c r="E54" s="127">
        <f>'I. Datos de entrada'!E89</f>
        <v>6.4999999999999997E-3</v>
      </c>
      <c r="F54" s="128">
        <f>'I. Datos de entrada'!F89</f>
        <v>2E-3</v>
      </c>
      <c r="H54" s="129">
        <f t="shared" si="6"/>
        <v>0</v>
      </c>
      <c r="I54" s="130">
        <f t="shared" si="7"/>
        <v>266.523966767442</v>
      </c>
      <c r="J54" s="130">
        <f t="shared" si="8"/>
        <v>76.271709493961083</v>
      </c>
      <c r="K54" s="130">
        <f t="shared" si="9"/>
        <v>811.33127670148099</v>
      </c>
      <c r="L54" s="131">
        <f t="shared" si="10"/>
        <v>706.6298513067519</v>
      </c>
    </row>
    <row r="55" spans="1:15" ht="18" customHeight="1" thickBot="1" x14ac:dyDescent="0.25">
      <c r="A55" s="153" t="s">
        <v>20</v>
      </c>
      <c r="B55" s="150">
        <f>'I. Datos de entrada'!B90</f>
        <v>0.12993503248375812</v>
      </c>
      <c r="C55" s="132">
        <f>'I. Datos de entrada'!C90</f>
        <v>2.1000000000000001E-2</v>
      </c>
      <c r="D55" s="132">
        <f>'I. Datos de entrada'!D90</f>
        <v>1.6500000000000001E-2</v>
      </c>
      <c r="E55" s="132">
        <f>'I. Datos de entrada'!E90</f>
        <v>5.3999999999999999E-2</v>
      </c>
      <c r="F55" s="133">
        <f>'I. Datos de entrada'!F90</f>
        <v>3.5499999999999997E-2</v>
      </c>
      <c r="H55" s="134">
        <f t="shared" si="6"/>
        <v>0</v>
      </c>
      <c r="I55" s="135">
        <f t="shared" si="7"/>
        <v>11194.006604232565</v>
      </c>
      <c r="J55" s="135">
        <f t="shared" si="8"/>
        <v>2516.9664133007159</v>
      </c>
      <c r="K55" s="135">
        <f t="shared" si="9"/>
        <v>6740.2906064430726</v>
      </c>
      <c r="L55" s="136">
        <f t="shared" si="10"/>
        <v>12542.679860694843</v>
      </c>
    </row>
    <row r="56" spans="1:15" ht="5.0999999999999996" customHeight="1" thickBot="1" x14ac:dyDescent="0.25">
      <c r="B56" s="137"/>
      <c r="C56" s="137"/>
      <c r="D56" s="137"/>
      <c r="E56" s="137"/>
      <c r="F56" s="137"/>
      <c r="H56" s="138"/>
      <c r="I56" s="138"/>
      <c r="J56" s="138"/>
      <c r="K56" s="138"/>
      <c r="L56" s="138"/>
    </row>
    <row r="57" spans="1:15" ht="18" customHeight="1" thickBot="1" x14ac:dyDescent="0.25">
      <c r="A57" s="58" t="s">
        <v>1</v>
      </c>
      <c r="B57" s="156">
        <f>SUM(B50:B56)</f>
        <v>1</v>
      </c>
      <c r="C57" s="139">
        <f>SUM(C50:C56)</f>
        <v>0.99999999999999989</v>
      </c>
      <c r="D57" s="139">
        <f>SUM(D50:D56)</f>
        <v>1</v>
      </c>
      <c r="E57" s="139">
        <f>SUM(E50:E56)</f>
        <v>0.99999999999999989</v>
      </c>
      <c r="F57" s="38">
        <f>SUM(F50:F56)</f>
        <v>1.0000000000000002</v>
      </c>
      <c r="H57" s="140">
        <f>SUM(H50:H55)</f>
        <v>0</v>
      </c>
      <c r="I57" s="141">
        <f>SUM(I50:I55)</f>
        <v>533047.93353488401</v>
      </c>
      <c r="J57" s="141">
        <f t="shared" ref="J57:L57" si="11">SUM(J50:J55)</f>
        <v>152543.41898792217</v>
      </c>
      <c r="K57" s="141">
        <f t="shared" si="11"/>
        <v>124820.19641561246</v>
      </c>
      <c r="L57" s="142">
        <f t="shared" si="11"/>
        <v>353314.92565337592</v>
      </c>
    </row>
    <row r="60" spans="1:15" s="386" customFormat="1" ht="30" customHeight="1" x14ac:dyDescent="0.2">
      <c r="A60" s="386" t="s">
        <v>190</v>
      </c>
    </row>
    <row r="61" spans="1:15" x14ac:dyDescent="0.2">
      <c r="A61" s="108"/>
    </row>
    <row r="62" spans="1:15" s="388" customFormat="1" ht="16.5" x14ac:dyDescent="0.25">
      <c r="A62" s="387" t="s">
        <v>197</v>
      </c>
    </row>
    <row r="63" spans="1:15" ht="13.5" thickBot="1" x14ac:dyDescent="0.25">
      <c r="A63" s="108"/>
    </row>
    <row r="64" spans="1:15" ht="36.75" customHeight="1" x14ac:dyDescent="0.2">
      <c r="A64" s="62" t="s">
        <v>53</v>
      </c>
      <c r="B64" s="63" t="s">
        <v>52</v>
      </c>
      <c r="C64" s="69" t="s">
        <v>15</v>
      </c>
      <c r="D64" s="69" t="s">
        <v>16</v>
      </c>
      <c r="E64" s="69" t="s">
        <v>17</v>
      </c>
      <c r="F64" s="69" t="s">
        <v>18</v>
      </c>
      <c r="G64" s="69" t="s">
        <v>19</v>
      </c>
      <c r="H64" s="74" t="s">
        <v>20</v>
      </c>
      <c r="J64" s="158" t="s">
        <v>15</v>
      </c>
      <c r="K64" s="159" t="s">
        <v>16</v>
      </c>
      <c r="L64" s="159" t="s">
        <v>17</v>
      </c>
      <c r="M64" s="159" t="s">
        <v>18</v>
      </c>
      <c r="N64" s="159" t="s">
        <v>19</v>
      </c>
      <c r="O64" s="160" t="s">
        <v>20</v>
      </c>
    </row>
    <row r="65" spans="1:18" ht="19.5" x14ac:dyDescent="0.2">
      <c r="A65" s="157" t="s">
        <v>10</v>
      </c>
      <c r="B65" s="65" t="s">
        <v>54</v>
      </c>
      <c r="C65" s="75">
        <f>'IIIa. Coeficientes Potencia'!D9</f>
        <v>1</v>
      </c>
      <c r="D65" s="75">
        <f>'IIIa. Coeficientes Potencia'!E9</f>
        <v>1</v>
      </c>
      <c r="E65" s="75">
        <f>'IIIa. Coeficientes Potencia'!F9</f>
        <v>1</v>
      </c>
      <c r="F65" s="75">
        <f>'IIIa. Coeficientes Potencia'!G9</f>
        <v>1</v>
      </c>
      <c r="G65" s="80">
        <f>'IIIa. Coeficientes Potencia'!H9</f>
        <v>1</v>
      </c>
      <c r="H65" s="85">
        <f>'IIIa. Coeficientes Potencia'!I9</f>
        <v>1</v>
      </c>
      <c r="J65" s="161">
        <f>$H$34*C65</f>
        <v>702514.15950952854</v>
      </c>
      <c r="K65" s="162">
        <f>$H$35*D65</f>
        <v>651184.32837058022</v>
      </c>
      <c r="L65" s="162">
        <f>$H$36*E65</f>
        <v>228468.07193218195</v>
      </c>
      <c r="M65" s="162">
        <f>$H$37*F65</f>
        <v>169086.50257535934</v>
      </c>
      <c r="N65" s="162">
        <f>$H$38*G65</f>
        <v>1006.4672772342817</v>
      </c>
      <c r="O65" s="163">
        <f>$H$39*H65</f>
        <v>261681.49208091325</v>
      </c>
    </row>
    <row r="66" spans="1:18" ht="19.5" x14ac:dyDescent="0.2">
      <c r="A66" s="591" t="s">
        <v>11</v>
      </c>
      <c r="B66" s="66" t="s">
        <v>55</v>
      </c>
      <c r="C66" s="76">
        <f>'IIIa. Coeficientes Potencia'!D10</f>
        <v>0.28121146460141422</v>
      </c>
      <c r="D66" s="76">
        <f>'IIIa. Coeficientes Potencia'!E10</f>
        <v>0.37669895253283364</v>
      </c>
      <c r="E66" s="76">
        <f>'IIIa. Coeficientes Potencia'!F10</f>
        <v>0.3990794612815623</v>
      </c>
      <c r="F66" s="76">
        <f>'IIIa. Coeficientes Potencia'!G10</f>
        <v>0.39424704348054823</v>
      </c>
      <c r="G66" s="81">
        <f>'IIIa. Coeficientes Potencia'!H10</f>
        <v>0.38988688145912376</v>
      </c>
      <c r="H66" s="86">
        <f>'IIIa. Coeficientes Potencia'!I10</f>
        <v>0.24736842655858945</v>
      </c>
      <c r="J66" s="164">
        <f>$I$34*C66</f>
        <v>158293.54473725974</v>
      </c>
      <c r="K66" s="165">
        <f>$I$35*D66</f>
        <v>203609.77858735569</v>
      </c>
      <c r="L66" s="165">
        <f>$I$36*E66</f>
        <v>104981.5059421855</v>
      </c>
      <c r="M66" s="165">
        <f>$I$37*F66</f>
        <v>78176.756720590303</v>
      </c>
      <c r="N66" s="165">
        <f>$I$38*G66</f>
        <v>311.74259471121934</v>
      </c>
      <c r="O66" s="166">
        <f>$I$39*H66</f>
        <v>8307.1314017264067</v>
      </c>
    </row>
    <row r="67" spans="1:18" ht="19.5" x14ac:dyDescent="0.2">
      <c r="A67" s="593"/>
      <c r="B67" s="67" t="s">
        <v>56</v>
      </c>
      <c r="C67" s="77">
        <f>'IIIa. Coeficientes Potencia'!D11</f>
        <v>0.71878853539858589</v>
      </c>
      <c r="D67" s="77">
        <f>'IIIa. Coeficientes Potencia'!E11</f>
        <v>0.6233010474671663</v>
      </c>
      <c r="E67" s="77">
        <f>'IIIa. Coeficientes Potencia'!F11</f>
        <v>0.60092053871843776</v>
      </c>
      <c r="F67" s="77">
        <f>'IIIa. Coeficientes Potencia'!G11</f>
        <v>0.60575295651945182</v>
      </c>
      <c r="G67" s="82">
        <f>'IIIa. Coeficientes Potencia'!H11</f>
        <v>0.61011311854087613</v>
      </c>
      <c r="H67" s="87">
        <f>'IIIa. Coeficientes Potencia'!I11</f>
        <v>0.75263157344141052</v>
      </c>
      <c r="J67" s="167">
        <f>$I$34*C67</f>
        <v>404605.07307557779</v>
      </c>
      <c r="K67" s="168">
        <f>$I$35*D67</f>
        <v>336900.82601701666</v>
      </c>
      <c r="L67" s="168">
        <f>$I$36*E67</f>
        <v>158077.64925727982</v>
      </c>
      <c r="M67" s="168">
        <f>$I$37*F67</f>
        <v>120117.07455438658</v>
      </c>
      <c r="N67" s="168">
        <f>$I$38*G67</f>
        <v>487.82930559110667</v>
      </c>
      <c r="O67" s="169">
        <f>$I$39*H67</f>
        <v>25274.888410971289</v>
      </c>
    </row>
    <row r="68" spans="1:18" ht="18.75" x14ac:dyDescent="0.2">
      <c r="A68" s="591" t="s">
        <v>12</v>
      </c>
      <c r="B68" s="66" t="s">
        <v>57</v>
      </c>
      <c r="C68" s="76">
        <f>'IIIa. Coeficientes Potencia'!D12</f>
        <v>0.16595788046142793</v>
      </c>
      <c r="D68" s="76">
        <f>'IIIa. Coeficientes Potencia'!E12</f>
        <v>0.18573956572448327</v>
      </c>
      <c r="E68" s="76">
        <f>'IIIa. Coeficientes Potencia'!F12</f>
        <v>0.20183982132150949</v>
      </c>
      <c r="F68" s="76">
        <f>'IIIa. Coeficientes Potencia'!G12</f>
        <v>0.20141498726779386</v>
      </c>
      <c r="G68" s="81">
        <f>'IIIa. Coeficientes Potencia'!H12</f>
        <v>0.22219870201498626</v>
      </c>
      <c r="H68" s="86">
        <f>'IIIa. Coeficientes Potencia'!I12</f>
        <v>0.15283139204025539</v>
      </c>
      <c r="J68" s="164">
        <f>$J$34*C68</f>
        <v>26125.887533369507</v>
      </c>
      <c r="K68" s="165">
        <f>$J$35*D68</f>
        <v>28347.515071143032</v>
      </c>
      <c r="L68" s="165">
        <f>$J$36*E68</f>
        <v>12423.497250430779</v>
      </c>
      <c r="M68" s="165">
        <f>$J$37*F68</f>
        <v>15761.68429693114</v>
      </c>
      <c r="N68" s="165">
        <f>$J$38*G68</f>
        <v>50.842424550066781</v>
      </c>
      <c r="O68" s="166">
        <f>$J$39*H68</f>
        <v>1154.0144419899516</v>
      </c>
    </row>
    <row r="69" spans="1:18" ht="18.75" x14ac:dyDescent="0.2">
      <c r="A69" s="592"/>
      <c r="B69" s="66" t="s">
        <v>58</v>
      </c>
      <c r="C69" s="76">
        <f>'IIIa. Coeficientes Potencia'!D13</f>
        <v>0.23441737129366458</v>
      </c>
      <c r="D69" s="76">
        <f>'IIIa. Coeficientes Potencia'!E13</f>
        <v>0.3065930842820187</v>
      </c>
      <c r="E69" s="76">
        <f>'IIIa. Coeficientes Potencia'!F13</f>
        <v>0.31837938853215753</v>
      </c>
      <c r="F69" s="76">
        <f>'IIIa. Coeficientes Potencia'!G13</f>
        <v>0.31469262569409212</v>
      </c>
      <c r="G69" s="81">
        <f>'IIIa. Coeficientes Potencia'!H13</f>
        <v>0.30312004980695689</v>
      </c>
      <c r="H69" s="86">
        <f>'IIIa. Coeficientes Potencia'!I13</f>
        <v>0.20943251410916783</v>
      </c>
      <c r="J69" s="164">
        <f>$J$34*C69</f>
        <v>36903.10976049029</v>
      </c>
      <c r="K69" s="165">
        <f>$J$35*D69</f>
        <v>46792.141693088532</v>
      </c>
      <c r="L69" s="165">
        <f>$J$36*E69</f>
        <v>19596.655566408677</v>
      </c>
      <c r="M69" s="165">
        <f>$J$37*F69</f>
        <v>24626.200284529252</v>
      </c>
      <c r="N69" s="165">
        <f>$J$38*G69</f>
        <v>69.358453142013701</v>
      </c>
      <c r="O69" s="166">
        <f>$J$39*H69</f>
        <v>1581.4038115977112</v>
      </c>
    </row>
    <row r="70" spans="1:18" ht="18.75" x14ac:dyDescent="0.2">
      <c r="A70" s="593"/>
      <c r="B70" s="67" t="s">
        <v>59</v>
      </c>
      <c r="C70" s="77">
        <f>'IIIa. Coeficientes Potencia'!D14</f>
        <v>0.59962474824490741</v>
      </c>
      <c r="D70" s="77">
        <f>'IIIa. Coeficientes Potencia'!E14</f>
        <v>0.50766734999349783</v>
      </c>
      <c r="E70" s="77">
        <f>'IIIa. Coeficientes Potencia'!F14</f>
        <v>0.47978079014633312</v>
      </c>
      <c r="F70" s="77">
        <f>'IIIa. Coeficientes Potencia'!G14</f>
        <v>0.4838923870381141</v>
      </c>
      <c r="G70" s="82">
        <f>'IIIa. Coeficientes Potencia'!H14</f>
        <v>0.47468124817805668</v>
      </c>
      <c r="H70" s="87">
        <f>'IIIa. Coeficientes Potencia'!I14</f>
        <v>0.63773609385057661</v>
      </c>
      <c r="J70" s="167">
        <f>$J$34*C70</f>
        <v>94395.811101675878</v>
      </c>
      <c r="K70" s="168">
        <f>$J$35*D70</f>
        <v>77480.033933184546</v>
      </c>
      <c r="L70" s="168">
        <f>$J$36*E70</f>
        <v>29531.116744787152</v>
      </c>
      <c r="M70" s="168">
        <f>$J$37*F70</f>
        <v>37866.889359343695</v>
      </c>
      <c r="N70" s="168">
        <f>$J$38*G70</f>
        <v>108.61425078980277</v>
      </c>
      <c r="O70" s="169">
        <f>$J$39*H70</f>
        <v>4815.4809863144837</v>
      </c>
    </row>
    <row r="71" spans="1:18" ht="18.75" x14ac:dyDescent="0.2">
      <c r="A71" s="591" t="s">
        <v>13</v>
      </c>
      <c r="B71" s="66" t="s">
        <v>60</v>
      </c>
      <c r="C71" s="76">
        <f>'IIIa. Coeficientes Potencia'!D15</f>
        <v>6.2353843038917327E-2</v>
      </c>
      <c r="D71" s="76">
        <f>'IIIa. Coeficientes Potencia'!E15</f>
        <v>7.3543631107900909E-2</v>
      </c>
      <c r="E71" s="76">
        <f>'IIIa. Coeficientes Potencia'!F15</f>
        <v>8.1459863910867458E-2</v>
      </c>
      <c r="F71" s="76">
        <f>'IIIa. Coeficientes Potencia'!G15</f>
        <v>8.3099421726132675E-2</v>
      </c>
      <c r="G71" s="81">
        <f>'IIIa. Coeficientes Potencia'!H15</f>
        <v>9.668938485080561E-2</v>
      </c>
      <c r="H71" s="86">
        <f>'IIIa. Coeficientes Potencia'!I15</f>
        <v>7.4771903736067472E-2</v>
      </c>
      <c r="J71" s="164">
        <f>$K$34*C71</f>
        <v>8102.1227117367525</v>
      </c>
      <c r="K71" s="165">
        <f>$K$35*D71</f>
        <v>9569.869025405771</v>
      </c>
      <c r="L71" s="165">
        <f>$K$36*E71</f>
        <v>5444.8762922454634</v>
      </c>
      <c r="M71" s="165">
        <f>$K$37*F71</f>
        <v>2069.3109853049991</v>
      </c>
      <c r="N71" s="165">
        <f>$K$38*G71</f>
        <v>235.34136616345481</v>
      </c>
      <c r="O71" s="166">
        <f>$K$39*H71</f>
        <v>1511.9530811342438</v>
      </c>
    </row>
    <row r="72" spans="1:18" ht="18.75" x14ac:dyDescent="0.2">
      <c r="A72" s="592"/>
      <c r="B72" s="66" t="s">
        <v>61</v>
      </c>
      <c r="C72" s="76">
        <f>'IIIa. Coeficientes Potencia'!D16</f>
        <v>5.3778702402780695E-2</v>
      </c>
      <c r="D72" s="76">
        <f>'IIIa. Coeficientes Potencia'!E16</f>
        <v>5.6805010289303175E-2</v>
      </c>
      <c r="E72" s="76">
        <f>'IIIa. Coeficientes Potencia'!F16</f>
        <v>6.0837150240139158E-2</v>
      </c>
      <c r="F72" s="76">
        <f>'IIIa. Coeficientes Potencia'!G16</f>
        <v>5.9774385297550969E-2</v>
      </c>
      <c r="G72" s="81">
        <f>'IIIa. Coeficientes Potencia'!H16</f>
        <v>6.8265250243400827E-2</v>
      </c>
      <c r="H72" s="86">
        <f>'IIIa. Coeficientes Potencia'!I16</f>
        <v>4.8242563739987178E-2</v>
      </c>
      <c r="J72" s="164">
        <f>$K$34*C72</f>
        <v>6987.8875929644219</v>
      </c>
      <c r="K72" s="165">
        <f>$K$35*D72</f>
        <v>7391.7550747240302</v>
      </c>
      <c r="L72" s="165">
        <f>$K$36*E72</f>
        <v>4066.4290501732271</v>
      </c>
      <c r="M72" s="165">
        <f>$K$37*F72</f>
        <v>1488.4795774358306</v>
      </c>
      <c r="N72" s="165">
        <f>$K$38*G72</f>
        <v>166.15719790297342</v>
      </c>
      <c r="O72" s="166">
        <f>$K$39*H72</f>
        <v>975.50669762210032</v>
      </c>
    </row>
    <row r="73" spans="1:18" ht="18.75" x14ac:dyDescent="0.2">
      <c r="A73" s="592"/>
      <c r="B73" s="66" t="s">
        <v>62</v>
      </c>
      <c r="C73" s="76">
        <f>'IIIa. Coeficientes Potencia'!D17</f>
        <v>0.24851320869292884</v>
      </c>
      <c r="D73" s="76">
        <f>'IIIa. Coeficientes Potencia'!E17</f>
        <v>0.32755456077194472</v>
      </c>
      <c r="E73" s="76">
        <f>'IIIa. Coeficientes Potencia'!F17</f>
        <v>0.34224644997860582</v>
      </c>
      <c r="F73" s="76">
        <f>'IIIa. Coeficientes Potencia'!G17</f>
        <v>0.33787579608105761</v>
      </c>
      <c r="G73" s="81">
        <f>'IIIa. Coeficientes Potencia'!H17</f>
        <v>0.32553191968354028</v>
      </c>
      <c r="H73" s="86">
        <f>'IIIa. Coeficientes Potencia'!I17</f>
        <v>0.21689741628043657</v>
      </c>
      <c r="J73" s="164">
        <f>$K$34*C73</f>
        <v>32291.265689283409</v>
      </c>
      <c r="K73" s="165">
        <f>$K$35*D73</f>
        <v>42623.055158410112</v>
      </c>
      <c r="L73" s="165">
        <f>$K$36*E73</f>
        <v>22876.168607802916</v>
      </c>
      <c r="M73" s="165">
        <f>$K$37*F73</f>
        <v>8413.6577845683478</v>
      </c>
      <c r="N73" s="165">
        <f>$K$38*G73</f>
        <v>792.34268401179202</v>
      </c>
      <c r="O73" s="166">
        <f>$K$39*H73</f>
        <v>4385.8548525503984</v>
      </c>
    </row>
    <row r="74" spans="1:18" ht="18.75" x14ac:dyDescent="0.2">
      <c r="A74" s="593"/>
      <c r="B74" s="67" t="s">
        <v>63</v>
      </c>
      <c r="C74" s="77">
        <f>'IIIa. Coeficientes Potencia'!D18</f>
        <v>0.63535424586537315</v>
      </c>
      <c r="D74" s="77">
        <f>'IIIa. Coeficientes Potencia'!E18</f>
        <v>0.54209679783085107</v>
      </c>
      <c r="E74" s="77">
        <f>'IIIa. Coeficientes Potencia'!F18</f>
        <v>0.51545653587038753</v>
      </c>
      <c r="F74" s="77">
        <f>'IIIa. Coeficientes Potencia'!G18</f>
        <v>0.51925039689525876</v>
      </c>
      <c r="G74" s="82">
        <f>'IIIa. Coeficientes Potencia'!H18</f>
        <v>0.50951344522225328</v>
      </c>
      <c r="H74" s="87">
        <f>'IIIa. Coeficientes Potencia'!I18</f>
        <v>0.66008811624350883</v>
      </c>
      <c r="J74" s="167">
        <f>$K$34*C74</f>
        <v>82556.548474667972</v>
      </c>
      <c r="K74" s="168">
        <f>$K$35*D74</f>
        <v>70540.375504736032</v>
      </c>
      <c r="L74" s="168">
        <f>$K$36*E74</f>
        <v>34453.741230338856</v>
      </c>
      <c r="M74" s="168">
        <f>$K$37*F74</f>
        <v>12930.180837605511</v>
      </c>
      <c r="N74" s="168">
        <f>$K$38*G74</f>
        <v>1240.1525820262225</v>
      </c>
      <c r="O74" s="169">
        <f>$K$39*H74</f>
        <v>13347.557188022478</v>
      </c>
    </row>
    <row r="75" spans="1:18" ht="18.75" x14ac:dyDescent="0.2">
      <c r="A75" s="591" t="s">
        <v>14</v>
      </c>
      <c r="B75" s="66" t="s">
        <v>64</v>
      </c>
      <c r="C75" s="76">
        <f>'IIIa. Coeficientes Potencia'!D19</f>
        <v>9.0341515431305003E-2</v>
      </c>
      <c r="D75" s="76">
        <f>'IIIa. Coeficientes Potencia'!E19</f>
        <v>7.5313127857926571E-2</v>
      </c>
      <c r="E75" s="76">
        <f>'IIIa. Coeficientes Potencia'!F19</f>
        <v>8.2489405576404135E-2</v>
      </c>
      <c r="F75" s="76">
        <f>'IIIa. Coeficientes Potencia'!G19</f>
        <v>8.2981457539222911E-2</v>
      </c>
      <c r="G75" s="81">
        <f>'IIIa. Coeficientes Potencia'!H19</f>
        <v>0.1318912437806207</v>
      </c>
      <c r="H75" s="86">
        <f>'IIIa. Coeficientes Potencia'!I19</f>
        <v>0.12485369852498195</v>
      </c>
      <c r="J75" s="164">
        <f>$L$34*C75</f>
        <v>32940.41399388163</v>
      </c>
      <c r="K75" s="165">
        <f>$L$35*D75</f>
        <v>26901.953943714834</v>
      </c>
      <c r="L75" s="165">
        <f>$L$36*E75</f>
        <v>13814.605906050321</v>
      </c>
      <c r="M75" s="165">
        <f>$L$37*F75</f>
        <v>10862.536669149886</v>
      </c>
      <c r="N75" s="165">
        <f>$L$38*G75</f>
        <v>279.59486994408769</v>
      </c>
      <c r="O75" s="166">
        <f>$L$39*H75</f>
        <v>4697.9999100676696</v>
      </c>
      <c r="P75" s="314"/>
      <c r="R75" s="137"/>
    </row>
    <row r="76" spans="1:18" ht="18.75" x14ac:dyDescent="0.2">
      <c r="A76" s="592"/>
      <c r="B76" s="66" t="s">
        <v>65</v>
      </c>
      <c r="C76" s="76">
        <f>'IIIa. Coeficientes Potencia'!D20</f>
        <v>2.7588367219473612E-2</v>
      </c>
      <c r="D76" s="76">
        <f>'IIIa. Coeficientes Potencia'!E20</f>
        <v>3.1827973203528724E-2</v>
      </c>
      <c r="E76" s="76">
        <f>'IIIa. Coeficientes Potencia'!F20</f>
        <v>3.436803360815377E-2</v>
      </c>
      <c r="F76" s="76">
        <f>'IIIa. Coeficientes Potencia'!G20</f>
        <v>3.4841344343194754E-2</v>
      </c>
      <c r="G76" s="81">
        <f>'IIIa. Coeficientes Potencia'!H20</f>
        <v>3.887096828004527E-2</v>
      </c>
      <c r="H76" s="86">
        <f>'IIIa. Coeficientes Potencia'!I20</f>
        <v>3.3177941655044126E-2</v>
      </c>
      <c r="J76" s="164">
        <f>$L$34*C76</f>
        <v>10059.298134263834</v>
      </c>
      <c r="K76" s="165">
        <f>$L$35*D76</f>
        <v>11368.996263949519</v>
      </c>
      <c r="L76" s="165">
        <f>$L$36*E76</f>
        <v>5755.6583993417298</v>
      </c>
      <c r="M76" s="165">
        <f>$L$37*F76</f>
        <v>4560.8427684165636</v>
      </c>
      <c r="N76" s="165">
        <f>$L$38*G76</f>
        <v>82.402159607633564</v>
      </c>
      <c r="O76" s="166">
        <f>$L$39*H76</f>
        <v>1248.4209018480915</v>
      </c>
    </row>
    <row r="77" spans="1:18" ht="18.75" x14ac:dyDescent="0.2">
      <c r="A77" s="592"/>
      <c r="B77" s="66" t="s">
        <v>66</v>
      </c>
      <c r="C77" s="76">
        <f>'IIIa. Coeficientes Potencia'!D21</f>
        <v>6.2378570180296258E-2</v>
      </c>
      <c r="D77" s="76">
        <f>'IIIa. Coeficientes Potencia'!E21</f>
        <v>6.9808490554235519E-2</v>
      </c>
      <c r="E77" s="76">
        <f>'IIIa. Coeficientes Potencia'!F21</f>
        <v>7.5838779629130409E-2</v>
      </c>
      <c r="F77" s="76">
        <f>'IIIa. Coeficientes Potencia'!G21</f>
        <v>7.4953426404925985E-2</v>
      </c>
      <c r="G77" s="81">
        <f>'IIIa. Coeficientes Potencia'!H21</f>
        <v>7.7147259905700621E-2</v>
      </c>
      <c r="H77" s="86">
        <f>'IIIa. Coeficientes Potencia'!I21</f>
        <v>5.3076446774933839E-2</v>
      </c>
      <c r="J77" s="164">
        <f>$L$34*C77</f>
        <v>22744.536841954949</v>
      </c>
      <c r="K77" s="165">
        <f>$L$35*D77</f>
        <v>24935.689848295704</v>
      </c>
      <c r="L77" s="165">
        <f>$L$36*E77</f>
        <v>12700.817100710452</v>
      </c>
      <c r="M77" s="165">
        <f>$L$37*F77</f>
        <v>9811.6418648960789</v>
      </c>
      <c r="N77" s="165">
        <f>$L$38*G77</f>
        <v>163.54367038766568</v>
      </c>
      <c r="O77" s="166">
        <f>$L$39*H77</f>
        <v>1997.1626401236133</v>
      </c>
    </row>
    <row r="78" spans="1:18" ht="18.75" x14ac:dyDescent="0.2">
      <c r="A78" s="592"/>
      <c r="B78" s="66" t="s">
        <v>67</v>
      </c>
      <c r="C78" s="76">
        <f>'IIIa. Coeficientes Potencia'!D22</f>
        <v>0.2304597389030103</v>
      </c>
      <c r="D78" s="76">
        <f>'IIIa. Coeficientes Potencia'!E22</f>
        <v>0.30999037257902007</v>
      </c>
      <c r="E78" s="76">
        <f>'IIIa. Coeficientes Potencia'!F22</f>
        <v>0.32212201791241252</v>
      </c>
      <c r="F78" s="76">
        <f>'IIIa. Coeficientes Potencia'!G22</f>
        <v>0.31819082417110101</v>
      </c>
      <c r="G78" s="81">
        <f>'IIIa. Coeficientes Potencia'!H22</f>
        <v>0.29318354172100969</v>
      </c>
      <c r="H78" s="86">
        <f>'IIIa. Coeficientes Potencia'!I22</f>
        <v>0.19510171653424319</v>
      </c>
      <c r="J78" s="164">
        <f>$L$34*C78</f>
        <v>84030.461213145129</v>
      </c>
      <c r="K78" s="165">
        <f>$L$35*D78</f>
        <v>110728.99192086999</v>
      </c>
      <c r="L78" s="165">
        <f>$L$36*E78</f>
        <v>53946.184967958696</v>
      </c>
      <c r="M78" s="165">
        <f>$L$37*F78</f>
        <v>41652.190716364414</v>
      </c>
      <c r="N78" s="165">
        <f>$L$38*G78</f>
        <v>621.51672747571183</v>
      </c>
      <c r="O78" s="166">
        <f>$L$39*H78</f>
        <v>7341.2951122831382</v>
      </c>
    </row>
    <row r="79" spans="1:18" ht="19.5" thickBot="1" x14ac:dyDescent="0.25">
      <c r="A79" s="594"/>
      <c r="B79" s="68" t="s">
        <v>68</v>
      </c>
      <c r="C79" s="78">
        <f>'IIIa. Coeficientes Potencia'!D23</f>
        <v>0.58923180826591492</v>
      </c>
      <c r="D79" s="78">
        <f>'IIIa. Coeficientes Potencia'!E23</f>
        <v>0.51306003580528892</v>
      </c>
      <c r="E79" s="78">
        <f>'IIIa. Coeficientes Potencia'!F23</f>
        <v>0.48518176327389934</v>
      </c>
      <c r="F79" s="78">
        <f>'IIIa. Coeficientes Potencia'!G23</f>
        <v>0.48903294754155535</v>
      </c>
      <c r="G79" s="83">
        <f>'IIIa. Coeficientes Potencia'!H23</f>
        <v>0.45890698631262361</v>
      </c>
      <c r="H79" s="88">
        <f>'IIIa. Coeficientes Potencia'!I23</f>
        <v>0.59379019651079679</v>
      </c>
      <c r="J79" s="170">
        <f>$L$34*C79</f>
        <v>214846.29309103839</v>
      </c>
      <c r="K79" s="171">
        <f>$L$35*D79</f>
        <v>183265.75785873295</v>
      </c>
      <c r="L79" s="171">
        <f>$L$36*E79</f>
        <v>81254.008385638997</v>
      </c>
      <c r="M79" s="171">
        <f>$L$37*F79</f>
        <v>64015.967935748842</v>
      </c>
      <c r="N79" s="171">
        <f>$L$38*G79</f>
        <v>972.83212650515645</v>
      </c>
      <c r="O79" s="172">
        <f>$L$39*H79</f>
        <v>22343.161017762013</v>
      </c>
    </row>
    <row r="82" spans="1:15" s="388" customFormat="1" ht="16.5" x14ac:dyDescent="0.25">
      <c r="A82" s="387" t="s">
        <v>198</v>
      </c>
    </row>
    <row r="83" spans="1:15" ht="13.5" thickBot="1" x14ac:dyDescent="0.25">
      <c r="A83" s="108"/>
    </row>
    <row r="84" spans="1:15" ht="36.75" customHeight="1" x14ac:dyDescent="0.2">
      <c r="A84" s="62" t="s">
        <v>53</v>
      </c>
      <c r="B84" s="63" t="s">
        <v>52</v>
      </c>
      <c r="C84" s="69" t="s">
        <v>15</v>
      </c>
      <c r="D84" s="69" t="s">
        <v>16</v>
      </c>
      <c r="E84" s="69" t="s">
        <v>17</v>
      </c>
      <c r="F84" s="69" t="s">
        <v>18</v>
      </c>
      <c r="G84" s="69" t="s">
        <v>19</v>
      </c>
      <c r="H84" s="74" t="s">
        <v>20</v>
      </c>
      <c r="J84" s="158" t="s">
        <v>15</v>
      </c>
      <c r="K84" s="159" t="s">
        <v>16</v>
      </c>
      <c r="L84" s="159" t="s">
        <v>17</v>
      </c>
      <c r="M84" s="159" t="s">
        <v>18</v>
      </c>
      <c r="N84" s="159" t="s">
        <v>19</v>
      </c>
      <c r="O84" s="160" t="s">
        <v>20</v>
      </c>
    </row>
    <row r="85" spans="1:15" ht="19.5" x14ac:dyDescent="0.2">
      <c r="A85" s="157" t="s">
        <v>10</v>
      </c>
      <c r="B85" s="65" t="s">
        <v>54</v>
      </c>
      <c r="C85" s="75">
        <f>'IIIb. Coeficientes Energía'!D9</f>
        <v>1</v>
      </c>
      <c r="D85" s="75">
        <f>'IIIb. Coeficientes Energía'!E9</f>
        <v>1</v>
      </c>
      <c r="E85" s="75">
        <f>'IIIb. Coeficientes Energía'!F9</f>
        <v>1</v>
      </c>
      <c r="F85" s="75">
        <f>'IIIb. Coeficientes Energía'!G9</f>
        <v>1</v>
      </c>
      <c r="G85" s="80">
        <f>'IIIb. Coeficientes Energía'!H9</f>
        <v>1</v>
      </c>
      <c r="H85" s="85">
        <f>'IIIb. Coeficientes Energía'!I9</f>
        <v>1</v>
      </c>
      <c r="J85" s="161">
        <f>$H$50*C85</f>
        <v>0</v>
      </c>
      <c r="K85" s="162">
        <f>$H$51*D85</f>
        <v>0</v>
      </c>
      <c r="L85" s="162">
        <f>$H$52*E85</f>
        <v>0</v>
      </c>
      <c r="M85" s="162">
        <f>$H$53*F85</f>
        <v>0</v>
      </c>
      <c r="N85" s="162">
        <f>$H$54*G85</f>
        <v>0</v>
      </c>
      <c r="O85" s="163">
        <f>$H$55*H85</f>
        <v>0</v>
      </c>
    </row>
    <row r="86" spans="1:15" ht="19.5" x14ac:dyDescent="0.2">
      <c r="A86" s="591" t="s">
        <v>11</v>
      </c>
      <c r="B86" s="66" t="s">
        <v>55</v>
      </c>
      <c r="C86" s="76">
        <f>'IIIb. Coeficientes Energía'!D10</f>
        <v>0.35144613924561496</v>
      </c>
      <c r="D86" s="76">
        <f>'IIIb. Coeficientes Energía'!E10</f>
        <v>0.35729351755279382</v>
      </c>
      <c r="E86" s="76">
        <f>'IIIb. Coeficientes Energía'!F10</f>
        <v>0.39645862034534241</v>
      </c>
      <c r="F86" s="76">
        <f>'IIIb. Coeficientes Energía'!G10</f>
        <v>0.39358081683408846</v>
      </c>
      <c r="G86" s="81">
        <f>'IIIb. Coeficientes Energía'!H10</f>
        <v>0.41615528461193879</v>
      </c>
      <c r="H86" s="86">
        <f>'IIIb. Coeficientes Energía'!I10</f>
        <v>0.37979277196436656</v>
      </c>
      <c r="J86" s="164">
        <f>$I$50*C86</f>
        <v>65942.848672338223</v>
      </c>
      <c r="K86" s="165">
        <f>$I$51*D86</f>
        <v>64373.645064561177</v>
      </c>
      <c r="L86" s="165">
        <f>$I$52*E86</f>
        <v>34764.023246530436</v>
      </c>
      <c r="M86" s="165">
        <f>$I$53*F86</f>
        <v>26014.882695455439</v>
      </c>
      <c r="N86" s="165">
        <f>$I$54*G86</f>
        <v>110.91535724600774</v>
      </c>
      <c r="O86" s="166">
        <f>$I$55*H86</f>
        <v>4251.4027976089119</v>
      </c>
    </row>
    <row r="87" spans="1:15" ht="19.5" x14ac:dyDescent="0.2">
      <c r="A87" s="593"/>
      <c r="B87" s="67" t="s">
        <v>56</v>
      </c>
      <c r="C87" s="77">
        <f>'IIIb. Coeficientes Energía'!D11</f>
        <v>0.64855386075438504</v>
      </c>
      <c r="D87" s="77">
        <f>'IIIb. Coeficientes Energía'!E11</f>
        <v>0.64270648244720618</v>
      </c>
      <c r="E87" s="77">
        <f>'IIIb. Coeficientes Energía'!F11</f>
        <v>0.60354137965465748</v>
      </c>
      <c r="F87" s="77">
        <f>'IIIb. Coeficientes Energía'!G11</f>
        <v>0.60641918316591148</v>
      </c>
      <c r="G87" s="82">
        <f>'IIIb. Coeficientes Energía'!H11</f>
        <v>0.58384471538806126</v>
      </c>
      <c r="H87" s="87">
        <f>'IIIb. Coeficientes Energía'!I11</f>
        <v>0.62020722803563344</v>
      </c>
      <c r="J87" s="167">
        <f>$I$50*C87</f>
        <v>121690.02393194094</v>
      </c>
      <c r="K87" s="168">
        <f>$I$51*D87</f>
        <v>115796.55647022963</v>
      </c>
      <c r="L87" s="168">
        <f>$I$52*E87</f>
        <v>52922.36181995798</v>
      </c>
      <c r="M87" s="168">
        <f>$I$53*F87</f>
        <v>40083.061062870183</v>
      </c>
      <c r="N87" s="168">
        <f>$I$54*G87</f>
        <v>155.60860952143429</v>
      </c>
      <c r="O87" s="169">
        <f>$I$55*H87</f>
        <v>6942.6038066236533</v>
      </c>
    </row>
    <row r="88" spans="1:15" ht="18.75" x14ac:dyDescent="0.2">
      <c r="A88" s="591" t="s">
        <v>12</v>
      </c>
      <c r="B88" s="66" t="s">
        <v>57</v>
      </c>
      <c r="C88" s="76">
        <f>'IIIb. Coeficientes Energía'!D12</f>
        <v>0.18769864845040984</v>
      </c>
      <c r="D88" s="76">
        <f>'IIIb. Coeficientes Energía'!E12</f>
        <v>0.20121176644367819</v>
      </c>
      <c r="E88" s="76">
        <f>'IIIb. Coeficientes Energía'!F12</f>
        <v>0.22573572758771984</v>
      </c>
      <c r="F88" s="76">
        <f>'IIIb. Coeficientes Energía'!G12</f>
        <v>0.19516664185176774</v>
      </c>
      <c r="G88" s="81">
        <f>'IIIb. Coeficientes Energía'!H12</f>
        <v>0.25858470915618609</v>
      </c>
      <c r="H88" s="86">
        <f>'IIIb. Coeficientes Energía'!I12</f>
        <v>0.23849061622916334</v>
      </c>
      <c r="J88" s="164">
        <f>$J$50*C88</f>
        <v>9849.4745894689258</v>
      </c>
      <c r="K88" s="165">
        <f>$J$51*D88</f>
        <v>10236.292519771634</v>
      </c>
      <c r="L88" s="165">
        <f>$J$52*E88</f>
        <v>4631.4402061472174</v>
      </c>
      <c r="M88" s="165">
        <f>$J$53*F88</f>
        <v>5090.9071462986522</v>
      </c>
      <c r="N88" s="165">
        <f>$J$54*G88</f>
        <v>19.722697816341043</v>
      </c>
      <c r="O88" s="166">
        <f>$J$55*H88</f>
        <v>600.27287093619475</v>
      </c>
    </row>
    <row r="89" spans="1:15" ht="18.75" x14ac:dyDescent="0.2">
      <c r="A89" s="592"/>
      <c r="B89" s="66" t="s">
        <v>58</v>
      </c>
      <c r="C89" s="76">
        <f>'IIIb. Coeficientes Energía'!D13</f>
        <v>0.28538912701768826</v>
      </c>
      <c r="D89" s="76">
        <f>'IIIb. Coeficientes Energía'!E13</f>
        <v>0.28530980276453094</v>
      </c>
      <c r="E89" s="76">
        <f>'IIIb. Coeficientes Energía'!F13</f>
        <v>0.30686808199990084</v>
      </c>
      <c r="F89" s="76">
        <f>'IIIb. Coeficientes Energía'!G13</f>
        <v>0.31664498180594197</v>
      </c>
      <c r="G89" s="81">
        <f>'IIIb. Coeficientes Energía'!H13</f>
        <v>0.30845661107712441</v>
      </c>
      <c r="H89" s="86">
        <f>'IIIb. Coeficientes Energía'!I13</f>
        <v>0.28912395957022291</v>
      </c>
      <c r="J89" s="164">
        <f>$J$50*C89</f>
        <v>14975.776212976254</v>
      </c>
      <c r="K89" s="165">
        <f>$J$51*D89</f>
        <v>14514.631283621171</v>
      </c>
      <c r="L89" s="165">
        <f>$J$52*E89</f>
        <v>6296.0400116784103</v>
      </c>
      <c r="M89" s="165">
        <f>$J$53*F89</f>
        <v>8259.6604902380022</v>
      </c>
      <c r="N89" s="165">
        <f>$J$54*G89</f>
        <v>23.526513031566171</v>
      </c>
      <c r="O89" s="166">
        <f>$J$55*H89</f>
        <v>727.71529551876517</v>
      </c>
    </row>
    <row r="90" spans="1:15" ht="18.75" x14ac:dyDescent="0.2">
      <c r="A90" s="593"/>
      <c r="B90" s="67" t="s">
        <v>59</v>
      </c>
      <c r="C90" s="77">
        <f>'IIIb. Coeficientes Energía'!D14</f>
        <v>0.5269122245319019</v>
      </c>
      <c r="D90" s="77">
        <f>'IIIb. Coeficientes Energía'!E14</f>
        <v>0.51347843079179079</v>
      </c>
      <c r="E90" s="77">
        <f>'IIIb. Coeficientes Energía'!F14</f>
        <v>0.46739619041237929</v>
      </c>
      <c r="F90" s="77">
        <f>'IIIb. Coeficientes Energía'!G14</f>
        <v>0.48818837634229018</v>
      </c>
      <c r="G90" s="82">
        <f>'IIIb. Coeficientes Energía'!H14</f>
        <v>0.43295867976668961</v>
      </c>
      <c r="H90" s="87">
        <f>'IIIb. Coeficientes Energía'!I14</f>
        <v>0.47238542420061369</v>
      </c>
      <c r="J90" s="167">
        <f>$J$50*C90</f>
        <v>27649.685329400039</v>
      </c>
      <c r="K90" s="168">
        <f>$J$51*D90</f>
        <v>26122.306429079235</v>
      </c>
      <c r="L90" s="168">
        <f>$J$52*E90</f>
        <v>9589.6096360499032</v>
      </c>
      <c r="M90" s="168">
        <f>$J$53*F90</f>
        <v>12734.357010398033</v>
      </c>
      <c r="N90" s="168">
        <f>$J$54*G90</f>
        <v>33.022498646053876</v>
      </c>
      <c r="O90" s="169">
        <f>$J$55*H90</f>
        <v>1188.9782468457558</v>
      </c>
    </row>
    <row r="91" spans="1:15" ht="18.75" x14ac:dyDescent="0.2">
      <c r="A91" s="591" t="s">
        <v>13</v>
      </c>
      <c r="B91" s="66" t="s">
        <v>60</v>
      </c>
      <c r="C91" s="76">
        <f>'IIIb. Coeficientes Energía'!D15</f>
        <v>7.6583627496463358E-2</v>
      </c>
      <c r="D91" s="76">
        <f>'IIIb. Coeficientes Energía'!E15</f>
        <v>8.4402977800747889E-2</v>
      </c>
      <c r="E91" s="76">
        <f>'IIIb. Coeficientes Energía'!F15</f>
        <v>9.4098597398248177E-2</v>
      </c>
      <c r="F91" s="76">
        <f>'IIIb. Coeficientes Energía'!G15</f>
        <v>9.6117998607460592E-2</v>
      </c>
      <c r="G91" s="81">
        <f>'IIIb. Coeficientes Energía'!H15</f>
        <v>0.10381767592508116</v>
      </c>
      <c r="H91" s="86">
        <f>'IIIb. Coeficientes Energía'!I15</f>
        <v>0.11971491726807479</v>
      </c>
      <c r="J91" s="164">
        <f>$K$50*C91</f>
        <v>3317.0366489360431</v>
      </c>
      <c r="K91" s="165">
        <f>$K$51*D91</f>
        <v>3660.9807028352952</v>
      </c>
      <c r="L91" s="165">
        <f>$K$52*E91</f>
        <v>2096.5548656284113</v>
      </c>
      <c r="M91" s="165">
        <f>$K$53*F91</f>
        <v>797.83158643971001</v>
      </c>
      <c r="N91" s="165">
        <f>$K$54*G91</f>
        <v>84.230527552476701</v>
      </c>
      <c r="O91" s="166">
        <f>$K$55*H91</f>
        <v>806.9133323131141</v>
      </c>
    </row>
    <row r="92" spans="1:15" ht="18.75" x14ac:dyDescent="0.2">
      <c r="A92" s="592"/>
      <c r="B92" s="66" t="s">
        <v>61</v>
      </c>
      <c r="C92" s="76">
        <f>'IIIb. Coeficientes Energía'!D16</f>
        <v>5.7372562685683796E-2</v>
      </c>
      <c r="D92" s="76">
        <f>'IIIb. Coeficientes Energía'!E16</f>
        <v>6.1359081789800367E-2</v>
      </c>
      <c r="E92" s="76">
        <f>'IIIb. Coeficientes Energía'!F16</f>
        <v>6.8936773804475812E-2</v>
      </c>
      <c r="F92" s="76">
        <f>'IIIb. Coeficientes Energía'!G16</f>
        <v>5.7176802667561206E-2</v>
      </c>
      <c r="G92" s="81">
        <f>'IIIb. Coeficientes Energía'!H16</f>
        <v>8.0273448196958308E-2</v>
      </c>
      <c r="H92" s="86">
        <f>'IIIb. Coeficientes Energía'!I16</f>
        <v>7.2376144106503157E-2</v>
      </c>
      <c r="J92" s="164">
        <f>$K$50*C92</f>
        <v>2484.9553265230488</v>
      </c>
      <c r="K92" s="165">
        <f>$K$51*D92</f>
        <v>2661.4512927073674</v>
      </c>
      <c r="L92" s="165">
        <f>$K$52*E92</f>
        <v>1535.9392439061971</v>
      </c>
      <c r="M92" s="165">
        <f>$K$53*F92</f>
        <v>474.59851266888336</v>
      </c>
      <c r="N92" s="165">
        <f>$K$54*G92</f>
        <v>65.128359210868382</v>
      </c>
      <c r="O92" s="166">
        <f>$K$55*H92</f>
        <v>487.83624425163339</v>
      </c>
    </row>
    <row r="93" spans="1:15" ht="18.75" x14ac:dyDescent="0.2">
      <c r="A93" s="592"/>
      <c r="B93" s="66" t="s">
        <v>62</v>
      </c>
      <c r="C93" s="76">
        <f>'IIIb. Coeficientes Energía'!D17</f>
        <v>0.30433992369810209</v>
      </c>
      <c r="D93" s="76">
        <f>'IIIb. Coeficientes Energía'!E17</f>
        <v>0.30518560659322957</v>
      </c>
      <c r="E93" s="76">
        <f>'IIIb. Coeficientes Energía'!F17</f>
        <v>0.33179262769875312</v>
      </c>
      <c r="F93" s="76">
        <f>'IIIb. Coeficientes Energía'!G17</f>
        <v>0.33321118542996897</v>
      </c>
      <c r="G93" s="81">
        <f>'IIIb. Coeficientes Energía'!H17</f>
        <v>0.339517695698491</v>
      </c>
      <c r="H93" s="86">
        <f>'IIIb. Coeficientes Energía'!I17</f>
        <v>0.30681011616039988</v>
      </c>
      <c r="J93" s="164">
        <f>$K$50*C93</f>
        <v>13181.755861429034</v>
      </c>
      <c r="K93" s="165">
        <f>$K$51*D93</f>
        <v>13237.431256969199</v>
      </c>
      <c r="L93" s="165">
        <f>$K$52*E93</f>
        <v>7392.4741411119812</v>
      </c>
      <c r="M93" s="165">
        <f>$K$53*F93</f>
        <v>2765.8337932809782</v>
      </c>
      <c r="N93" s="165">
        <f>$K$54*G93</f>
        <v>275.46132551380163</v>
      </c>
      <c r="O93" s="166">
        <f>$K$55*H93</f>
        <v>2067.9893439176512</v>
      </c>
    </row>
    <row r="94" spans="1:15" ht="18.75" x14ac:dyDescent="0.2">
      <c r="A94" s="593"/>
      <c r="B94" s="67" t="s">
        <v>63</v>
      </c>
      <c r="C94" s="77">
        <f>'IIIb. Coeficientes Energía'!D18</f>
        <v>0.56170388611975075</v>
      </c>
      <c r="D94" s="77">
        <f>'IIIb. Coeficientes Energía'!E18</f>
        <v>0.54905233381622209</v>
      </c>
      <c r="E94" s="77">
        <f>'IIIb. Coeficientes Energía'!F18</f>
        <v>0.50517200109852278</v>
      </c>
      <c r="F94" s="77">
        <f>'IIIb. Coeficientes Energía'!G18</f>
        <v>0.5134940132950091</v>
      </c>
      <c r="G94" s="82">
        <f>'IIIb. Coeficientes Energía'!H18</f>
        <v>0.4763911801794698</v>
      </c>
      <c r="H94" s="87">
        <f>'IIIb. Coeficientes Energía'!I18</f>
        <v>0.50109882246502213</v>
      </c>
      <c r="J94" s="167">
        <f>$K$50*C94</f>
        <v>24328.860319329393</v>
      </c>
      <c r="K94" s="168">
        <f>$K$51*D94</f>
        <v>23815.155001913459</v>
      </c>
      <c r="L94" s="168">
        <f>$K$52*E94</f>
        <v>11255.43680954023</v>
      </c>
      <c r="M94" s="168">
        <f>$K$53*F94</f>
        <v>4262.2791692486562</v>
      </c>
      <c r="N94" s="168">
        <f>$K$54*G94</f>
        <v>386.51106442433451</v>
      </c>
      <c r="O94" s="169">
        <f>$K$55*H94</f>
        <v>3377.5516859606737</v>
      </c>
    </row>
    <row r="95" spans="1:15" ht="18.75" x14ac:dyDescent="0.2">
      <c r="A95" s="591" t="s">
        <v>14</v>
      </c>
      <c r="B95" s="66" t="s">
        <v>64</v>
      </c>
      <c r="C95" s="76">
        <f>'IIIb. Coeficientes Energía'!D19</f>
        <v>9.3311448852489848E-2</v>
      </c>
      <c r="D95" s="76">
        <f>'IIIb. Coeficientes Energía'!E19</f>
        <v>0.10612081521209225</v>
      </c>
      <c r="E95" s="76">
        <f>'IIIb. Coeficientes Energía'!F19</f>
        <v>0.10672343734675509</v>
      </c>
      <c r="F95" s="76">
        <f>'IIIb. Coeficientes Energía'!G19</f>
        <v>0.1323052287646885</v>
      </c>
      <c r="G95" s="81">
        <f>'IIIb. Coeficientes Energía'!H19</f>
        <v>0.11214395980896369</v>
      </c>
      <c r="H95" s="86">
        <f>'IIIb. Coeficientes Energía'!I19</f>
        <v>0.16054179828340306</v>
      </c>
      <c r="J95" s="164">
        <f>$L$50*C95</f>
        <v>11341.104699190626</v>
      </c>
      <c r="K95" s="165">
        <f>$L$51*D95</f>
        <v>12635.50089474744</v>
      </c>
      <c r="L95" s="165">
        <f>$L$52*E95</f>
        <v>5957.703366399357</v>
      </c>
      <c r="M95" s="165">
        <f>$L$53*F95</f>
        <v>5773.0583899717785</v>
      </c>
      <c r="N95" s="165">
        <f>$L$54*G95</f>
        <v>79.244269644758376</v>
      </c>
      <c r="O95" s="166">
        <f>$L$55*H95</f>
        <v>2013.6243801289736</v>
      </c>
    </row>
    <row r="96" spans="1:15" ht="18.75" x14ac:dyDescent="0.2">
      <c r="A96" s="592"/>
      <c r="B96" s="66" t="s">
        <v>65</v>
      </c>
      <c r="C96" s="76">
        <f>'IIIb. Coeficientes Energía'!D20</f>
        <v>3.3077918734694525E-2</v>
      </c>
      <c r="D96" s="76">
        <f>'IIIb. Coeficientes Energía'!E20</f>
        <v>3.592059058602394E-2</v>
      </c>
      <c r="E96" s="76">
        <f>'IIIb. Coeficientes Energía'!F20</f>
        <v>4.0840027618163625E-2</v>
      </c>
      <c r="F96" s="76">
        <f>'IIIb. Coeficientes Energía'!G20</f>
        <v>3.878317275125058E-2</v>
      </c>
      <c r="G96" s="81">
        <f>'IIIb. Coeficientes Energía'!H20</f>
        <v>4.6206772754393888E-2</v>
      </c>
      <c r="H96" s="86">
        <f>'IIIb. Coeficientes Energía'!I20</f>
        <v>4.9789410349157431E-2</v>
      </c>
      <c r="J96" s="164">
        <f>$L$50*C96</f>
        <v>4020.3013050898503</v>
      </c>
      <c r="K96" s="165">
        <f>$L$51*D96</f>
        <v>4276.9616270139986</v>
      </c>
      <c r="L96" s="165">
        <f>$L$52*E96</f>
        <v>2279.8438288117418</v>
      </c>
      <c r="M96" s="165">
        <f>$L$53*F96</f>
        <v>1692.2802139554515</v>
      </c>
      <c r="N96" s="165">
        <f>$L$54*G96</f>
        <v>32.65108496080223</v>
      </c>
      <c r="O96" s="166">
        <f>$L$55*H96</f>
        <v>624.49263446224836</v>
      </c>
    </row>
    <row r="97" spans="1:15" ht="18.75" x14ac:dyDescent="0.2">
      <c r="A97" s="592"/>
      <c r="B97" s="66" t="s">
        <v>66</v>
      </c>
      <c r="C97" s="76">
        <f>'IIIb. Coeficientes Energía'!D21</f>
        <v>6.9637582922362232E-2</v>
      </c>
      <c r="D97" s="76">
        <f>'IIIb. Coeficientes Energía'!E21</f>
        <v>7.3265371293905854E-2</v>
      </c>
      <c r="E97" s="76">
        <f>'IIIb. Coeficientes Energía'!F21</f>
        <v>8.1887920643897605E-2</v>
      </c>
      <c r="F97" s="76">
        <f>'IIIb. Coeficientes Energía'!G21</f>
        <v>6.8806404310407909E-2</v>
      </c>
      <c r="G97" s="81">
        <f>'IIIb. Coeficientes Energía'!H21</f>
        <v>9.3405360686143163E-2</v>
      </c>
      <c r="H97" s="86">
        <f>'IIIb. Coeficientes Energía'!I21</f>
        <v>8.0725720045594279E-2</v>
      </c>
      <c r="J97" s="164">
        <f>$L$50*C97</f>
        <v>8463.7751169159528</v>
      </c>
      <c r="K97" s="165">
        <f>$L$51*D97</f>
        <v>8723.4974843339132</v>
      </c>
      <c r="L97" s="165">
        <f>$L$52*E97</f>
        <v>4571.2914858849008</v>
      </c>
      <c r="M97" s="165">
        <f>$L$53*F97</f>
        <v>3002.3257084908751</v>
      </c>
      <c r="N97" s="165">
        <f>$L$54*G97</f>
        <v>66.003016132902872</v>
      </c>
      <c r="O97" s="166">
        <f>$L$55*H97</f>
        <v>1012.5168630559654</v>
      </c>
    </row>
    <row r="98" spans="1:15" ht="18.75" x14ac:dyDescent="0.2">
      <c r="A98" s="592"/>
      <c r="B98" s="66" t="s">
        <v>67</v>
      </c>
      <c r="C98" s="76">
        <f>'IIIb. Coeficientes Energía'!D22</f>
        <v>0.28251944523383876</v>
      </c>
      <c r="D98" s="76">
        <f>'IIIb. Coeficientes Energía'!E22</f>
        <v>0.28033228268699384</v>
      </c>
      <c r="E98" s="76">
        <f>'IIIb. Coeficientes Energía'!F22</f>
        <v>0.305455937767727</v>
      </c>
      <c r="F98" s="76">
        <f>'IIIb. Coeficientes Energía'!G22</f>
        <v>0.29911981583024094</v>
      </c>
      <c r="G98" s="81">
        <f>'IIIb. Coeficientes Energía'!H22</f>
        <v>0.31135412878827556</v>
      </c>
      <c r="H98" s="86">
        <f>'IIIb. Coeficientes Energía'!I22</f>
        <v>0.26922038115590829</v>
      </c>
      <c r="J98" s="164">
        <f>$L$50*C98</f>
        <v>34337.507855218799</v>
      </c>
      <c r="K98" s="165">
        <f>$L$51*D98</f>
        <v>33378.360330523385</v>
      </c>
      <c r="L98" s="165">
        <f>$L$52*E98</f>
        <v>17051.698426960298</v>
      </c>
      <c r="M98" s="165">
        <f>$L$53*F98</f>
        <v>13051.911693201866</v>
      </c>
      <c r="N98" s="165">
        <f>$L$54*G98</f>
        <v>220.01212172940245</v>
      </c>
      <c r="O98" s="166">
        <f>$L$55*H98</f>
        <v>3376.7450528128006</v>
      </c>
    </row>
    <row r="99" spans="1:15" ht="19.5" thickBot="1" x14ac:dyDescent="0.25">
      <c r="A99" s="594"/>
      <c r="B99" s="68" t="s">
        <v>68</v>
      </c>
      <c r="C99" s="78">
        <f>'IIIb. Coeficientes Energía'!D23</f>
        <v>0.52145360425661469</v>
      </c>
      <c r="D99" s="78">
        <f>'IIIb. Coeficientes Energía'!E23</f>
        <v>0.5043609402209841</v>
      </c>
      <c r="E99" s="78">
        <f>'IIIb. Coeficientes Energía'!F23</f>
        <v>0.46509267662345666</v>
      </c>
      <c r="F99" s="78">
        <f>'IIIb. Coeficientes Energía'!G23</f>
        <v>0.46098537834341191</v>
      </c>
      <c r="G99" s="83">
        <f>'IIIb. Coeficientes Energía'!H23</f>
        <v>0.43688977796222372</v>
      </c>
      <c r="H99" s="88">
        <f>'IIIb. Coeficientes Energía'!I23</f>
        <v>0.4397226901659369</v>
      </c>
      <c r="J99" s="170">
        <f>$L$50*C99</f>
        <v>63377.645448346091</v>
      </c>
      <c r="K99" s="171">
        <f>$L$51*D99</f>
        <v>60052.809608568961</v>
      </c>
      <c r="L99" s="171">
        <f>$L$52*E99</f>
        <v>25963.2211451771</v>
      </c>
      <c r="M99" s="171">
        <f>$L$53*F99</f>
        <v>20114.817312571951</v>
      </c>
      <c r="N99" s="171">
        <f>$L$54*G99</f>
        <v>308.71935883888602</v>
      </c>
      <c r="O99" s="172">
        <f>$L$55*H99</f>
        <v>5515.3009302348555</v>
      </c>
    </row>
  </sheetData>
  <mergeCells count="18">
    <mergeCell ref="J8:J9"/>
    <mergeCell ref="A32:A33"/>
    <mergeCell ref="A48:A49"/>
    <mergeCell ref="A19:C19"/>
    <mergeCell ref="A20:C20"/>
    <mergeCell ref="A22:C22"/>
    <mergeCell ref="A23:C23"/>
    <mergeCell ref="A10:C10"/>
    <mergeCell ref="A11:C11"/>
    <mergeCell ref="J16:J17"/>
    <mergeCell ref="A91:A94"/>
    <mergeCell ref="A95:A99"/>
    <mergeCell ref="A66:A67"/>
    <mergeCell ref="A68:A70"/>
    <mergeCell ref="A71:A74"/>
    <mergeCell ref="A75:A79"/>
    <mergeCell ref="A86:A87"/>
    <mergeCell ref="A88:A90"/>
  </mergeCells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0EF1A-D501-488A-ACCF-2596D73084A2}">
  <dimension ref="A1:AB106"/>
  <sheetViews>
    <sheetView showGridLines="0" workbookViewId="0">
      <selection activeCell="P32" sqref="P32"/>
    </sheetView>
  </sheetViews>
  <sheetFormatPr baseColWidth="10" defaultRowHeight="12.75" x14ac:dyDescent="0.2"/>
  <cols>
    <col min="2" max="2" width="14.140625" customWidth="1"/>
    <col min="3" max="3" width="15.42578125" customWidth="1"/>
    <col min="4" max="4" width="17" customWidth="1"/>
    <col min="5" max="5" width="13.28515625" customWidth="1"/>
    <col min="6" max="6" width="13.7109375" bestFit="1" customWidth="1"/>
    <col min="7" max="7" width="18.42578125" customWidth="1"/>
    <col min="8" max="8" width="2.28515625" customWidth="1"/>
    <col min="9" max="9" width="19.28515625" customWidth="1"/>
    <col min="10" max="12" width="12.85546875" bestFit="1" customWidth="1"/>
    <col min="13" max="13" width="11.85546875" bestFit="1" customWidth="1"/>
    <col min="14" max="14" width="12.85546875" bestFit="1" customWidth="1"/>
    <col min="15" max="15" width="5.42578125" customWidth="1"/>
    <col min="16" max="16" width="12.85546875" bestFit="1" customWidth="1"/>
    <col min="22" max="22" width="2.140625" customWidth="1"/>
  </cols>
  <sheetData>
    <row r="1" spans="1:14" s="1" customFormat="1" x14ac:dyDescent="0.2"/>
    <row r="2" spans="1:14" s="1" customFormat="1" x14ac:dyDescent="0.2"/>
    <row r="3" spans="1:14" s="1" customFormat="1" x14ac:dyDescent="0.2"/>
    <row r="4" spans="1:14" s="1" customFormat="1" x14ac:dyDescent="0.2"/>
    <row r="5" spans="1:14" s="1" customFormat="1" x14ac:dyDescent="0.2"/>
    <row r="6" spans="1:14" s="386" customFormat="1" ht="30" customHeight="1" x14ac:dyDescent="0.2">
      <c r="A6" s="386" t="s">
        <v>191</v>
      </c>
    </row>
    <row r="7" spans="1:14" s="5" customFormat="1" ht="16.5" customHeight="1" x14ac:dyDescent="0.2">
      <c r="A7" s="5" t="s">
        <v>201</v>
      </c>
    </row>
    <row r="8" spans="1:14" ht="5.0999999999999996" customHeight="1" thickBot="1" x14ac:dyDescent="0.25"/>
    <row r="9" spans="1:14" ht="25.5" customHeight="1" thickBot="1" x14ac:dyDescent="0.25">
      <c r="B9" s="307" t="s">
        <v>95</v>
      </c>
      <c r="C9" s="189"/>
      <c r="D9" s="189"/>
      <c r="E9" s="189"/>
      <c r="F9" s="189"/>
      <c r="G9" s="190"/>
      <c r="I9" s="307" t="s">
        <v>96</v>
      </c>
      <c r="J9" s="189"/>
      <c r="K9" s="189"/>
      <c r="L9" s="189"/>
      <c r="M9" s="189"/>
      <c r="N9" s="190"/>
    </row>
    <row r="10" spans="1:14" ht="13.5" thickBot="1" x14ac:dyDescent="0.25"/>
    <row r="11" spans="1:14" ht="24.95" customHeight="1" x14ac:dyDescent="0.2">
      <c r="A11" s="611" t="s">
        <v>53</v>
      </c>
      <c r="B11" s="173" t="s">
        <v>104</v>
      </c>
      <c r="C11" s="173"/>
      <c r="D11" s="173"/>
      <c r="E11" s="173"/>
      <c r="F11" s="173"/>
      <c r="G11" s="174"/>
      <c r="I11" s="191" t="s">
        <v>104</v>
      </c>
      <c r="J11" s="173"/>
      <c r="K11" s="173"/>
      <c r="L11" s="173"/>
      <c r="M11" s="173"/>
      <c r="N11" s="174"/>
    </row>
    <row r="12" spans="1:14" ht="24.95" customHeight="1" x14ac:dyDescent="0.2">
      <c r="A12" s="612"/>
      <c r="B12" s="175" t="s">
        <v>15</v>
      </c>
      <c r="C12" s="175" t="s">
        <v>16</v>
      </c>
      <c r="D12" s="175" t="s">
        <v>17</v>
      </c>
      <c r="E12" s="175" t="s">
        <v>18</v>
      </c>
      <c r="F12" s="175" t="s">
        <v>19</v>
      </c>
      <c r="G12" s="176" t="s">
        <v>20</v>
      </c>
      <c r="I12" s="192" t="s">
        <v>15</v>
      </c>
      <c r="J12" s="175" t="s">
        <v>16</v>
      </c>
      <c r="K12" s="175" t="s">
        <v>17</v>
      </c>
      <c r="L12" s="175" t="s">
        <v>18</v>
      </c>
      <c r="M12" s="175" t="s">
        <v>19</v>
      </c>
      <c r="N12" s="176" t="s">
        <v>20</v>
      </c>
    </row>
    <row r="13" spans="1:14" ht="15" customHeight="1" x14ac:dyDescent="0.2">
      <c r="A13" s="179" t="s">
        <v>10</v>
      </c>
      <c r="B13" s="180">
        <f>'IV. Metodología de asignación'!J79</f>
        <v>214846.29309103839</v>
      </c>
      <c r="C13" s="180">
        <f>'IV. Metodología de asignación'!K79</f>
        <v>183265.75785873295</v>
      </c>
      <c r="D13" s="180">
        <f>'IV. Metodología de asignación'!L79</f>
        <v>81254.008385638997</v>
      </c>
      <c r="E13" s="180">
        <f>'IV. Metodología de asignación'!M79</f>
        <v>64015.967935748842</v>
      </c>
      <c r="F13" s="180">
        <f>'IV. Metodología de asignación'!N79</f>
        <v>972.83212650515645</v>
      </c>
      <c r="G13" s="181">
        <f>'IV. Metodología de asignación'!O79</f>
        <v>22343.161017762013</v>
      </c>
      <c r="I13" s="193">
        <f>'IV. Metodología de asignación'!J99</f>
        <v>63377.645448346091</v>
      </c>
      <c r="J13" s="180">
        <f>'IV. Metodología de asignación'!K99</f>
        <v>60052.809608568961</v>
      </c>
      <c r="K13" s="180">
        <f>'IV. Metodología de asignación'!L99</f>
        <v>25963.2211451771</v>
      </c>
      <c r="L13" s="180">
        <f>'IV. Metodología de asignación'!M99</f>
        <v>20114.817312571951</v>
      </c>
      <c r="M13" s="180">
        <f>'IV. Metodología de asignación'!N99</f>
        <v>308.71935883888602</v>
      </c>
      <c r="N13" s="181">
        <f>'IV. Metodología de asignación'!O99</f>
        <v>5515.3009302348555</v>
      </c>
    </row>
    <row r="14" spans="1:14" ht="15" customHeight="1" x14ac:dyDescent="0.2">
      <c r="A14" s="182" t="s">
        <v>11</v>
      </c>
      <c r="B14" s="183">
        <f>'IV. Metodología de asignación'!J78</f>
        <v>84030.461213145129</v>
      </c>
      <c r="C14" s="183">
        <f>'IV. Metodología de asignación'!K78</f>
        <v>110728.99192086999</v>
      </c>
      <c r="D14" s="183">
        <f>'IV. Metodología de asignación'!L78</f>
        <v>53946.184967958696</v>
      </c>
      <c r="E14" s="183">
        <f>'IV. Metodología de asignación'!M78</f>
        <v>41652.190716364414</v>
      </c>
      <c r="F14" s="183">
        <f>'IV. Metodología de asignación'!N78</f>
        <v>621.51672747571183</v>
      </c>
      <c r="G14" s="184">
        <f>'IV. Metodología de asignación'!O78</f>
        <v>7341.2951122831382</v>
      </c>
      <c r="I14" s="194">
        <f>'IV. Metodología de asignación'!J98</f>
        <v>34337.507855218799</v>
      </c>
      <c r="J14" s="183">
        <f>'IV. Metodología de asignación'!K98</f>
        <v>33378.360330523385</v>
      </c>
      <c r="K14" s="183">
        <f>'IV. Metodología de asignación'!L98</f>
        <v>17051.698426960298</v>
      </c>
      <c r="L14" s="183">
        <f>'IV. Metodología de asignación'!M98</f>
        <v>13051.911693201866</v>
      </c>
      <c r="M14" s="183">
        <f>'IV. Metodología de asignación'!N98</f>
        <v>220.01212172940245</v>
      </c>
      <c r="N14" s="184">
        <f>'IV. Metodología de asignación'!O98</f>
        <v>3376.7450528128006</v>
      </c>
    </row>
    <row r="15" spans="1:14" ht="15" customHeight="1" x14ac:dyDescent="0.2">
      <c r="A15" s="182" t="s">
        <v>12</v>
      </c>
      <c r="B15" s="183">
        <f>'IV. Metodología de asignación'!J77</f>
        <v>22744.536841954949</v>
      </c>
      <c r="C15" s="183">
        <f>'IV. Metodología de asignación'!K77</f>
        <v>24935.689848295704</v>
      </c>
      <c r="D15" s="183">
        <f>'IV. Metodología de asignación'!L77</f>
        <v>12700.817100710452</v>
      </c>
      <c r="E15" s="183">
        <f>'IV. Metodología de asignación'!M77</f>
        <v>9811.6418648960789</v>
      </c>
      <c r="F15" s="183">
        <f>'IV. Metodología de asignación'!N77</f>
        <v>163.54367038766568</v>
      </c>
      <c r="G15" s="184">
        <f>'IV. Metodología de asignación'!O77</f>
        <v>1997.1626401236133</v>
      </c>
      <c r="I15" s="194">
        <f>'IV. Metodología de asignación'!J97</f>
        <v>8463.7751169159528</v>
      </c>
      <c r="J15" s="183">
        <f>'IV. Metodología de asignación'!K97</f>
        <v>8723.4974843339132</v>
      </c>
      <c r="K15" s="183">
        <f>'IV. Metodología de asignación'!L97</f>
        <v>4571.2914858849008</v>
      </c>
      <c r="L15" s="183">
        <f>'IV. Metodología de asignación'!M97</f>
        <v>3002.3257084908751</v>
      </c>
      <c r="M15" s="183">
        <f>'IV. Metodología de asignación'!N97</f>
        <v>66.003016132902872</v>
      </c>
      <c r="N15" s="184">
        <f>'IV. Metodología de asignación'!O97</f>
        <v>1012.5168630559654</v>
      </c>
    </row>
    <row r="16" spans="1:14" ht="15" customHeight="1" x14ac:dyDescent="0.2">
      <c r="A16" s="182" t="s">
        <v>13</v>
      </c>
      <c r="B16" s="183">
        <f>'IV. Metodología de asignación'!J76</f>
        <v>10059.298134263834</v>
      </c>
      <c r="C16" s="183">
        <f>'IV. Metodología de asignación'!K76</f>
        <v>11368.996263949519</v>
      </c>
      <c r="D16" s="183">
        <f>'IV. Metodología de asignación'!L76</f>
        <v>5755.6583993417298</v>
      </c>
      <c r="E16" s="183">
        <f>'IV. Metodología de asignación'!M76</f>
        <v>4560.8427684165636</v>
      </c>
      <c r="F16" s="183">
        <f>'IV. Metodología de asignación'!N76</f>
        <v>82.402159607633564</v>
      </c>
      <c r="G16" s="184">
        <f>'IV. Metodología de asignación'!O76</f>
        <v>1248.4209018480915</v>
      </c>
      <c r="I16" s="194">
        <f>'IV. Metodología de asignación'!J96</f>
        <v>4020.3013050898503</v>
      </c>
      <c r="J16" s="183">
        <f>'IV. Metodología de asignación'!K96</f>
        <v>4276.9616270139986</v>
      </c>
      <c r="K16" s="183">
        <f>'IV. Metodología de asignación'!L96</f>
        <v>2279.8438288117418</v>
      </c>
      <c r="L16" s="183">
        <f>'IV. Metodología de asignación'!M96</f>
        <v>1692.2802139554515</v>
      </c>
      <c r="M16" s="183">
        <f>'IV. Metodología de asignación'!N96</f>
        <v>32.65108496080223</v>
      </c>
      <c r="N16" s="184">
        <f>'IV. Metodología de asignación'!O96</f>
        <v>624.49263446224836</v>
      </c>
    </row>
    <row r="17" spans="1:28" ht="15" customHeight="1" thickBot="1" x14ac:dyDescent="0.25">
      <c r="A17" s="185" t="s">
        <v>14</v>
      </c>
      <c r="B17" s="186">
        <f>'IV. Metodología de asignación'!J75</f>
        <v>32940.41399388163</v>
      </c>
      <c r="C17" s="186">
        <f>'IV. Metodología de asignación'!K75</f>
        <v>26901.953943714834</v>
      </c>
      <c r="D17" s="186">
        <f>'IV. Metodología de asignación'!L75</f>
        <v>13814.605906050321</v>
      </c>
      <c r="E17" s="186">
        <f>'IV. Metodología de asignación'!M75</f>
        <v>10862.536669149886</v>
      </c>
      <c r="F17" s="186">
        <f>'IV. Metodología de asignación'!N75</f>
        <v>279.59486994408769</v>
      </c>
      <c r="G17" s="187">
        <f>'IV. Metodología de asignación'!O75</f>
        <v>4697.9999100676696</v>
      </c>
      <c r="I17" s="195">
        <f>'IV. Metodología de asignación'!J95</f>
        <v>11341.104699190626</v>
      </c>
      <c r="J17" s="186">
        <f>'IV. Metodología de asignación'!K95</f>
        <v>12635.50089474744</v>
      </c>
      <c r="K17" s="186">
        <f>'IV. Metodología de asignación'!L95</f>
        <v>5957.703366399357</v>
      </c>
      <c r="L17" s="186">
        <f>'IV. Metodología de asignación'!M95</f>
        <v>5773.0583899717785</v>
      </c>
      <c r="M17" s="186">
        <f>'IV. Metodología de asignación'!N95</f>
        <v>79.244269644758376</v>
      </c>
      <c r="N17" s="187">
        <f>'IV. Metodología de asignación'!O95</f>
        <v>2013.6243801289736</v>
      </c>
    </row>
    <row r="18" spans="1:28" ht="13.5" thickBot="1" x14ac:dyDescent="0.25">
      <c r="B18" s="230"/>
      <c r="C18" s="230"/>
      <c r="D18" s="230"/>
      <c r="E18" s="230"/>
      <c r="F18" s="230"/>
      <c r="G18" s="230"/>
      <c r="N18" s="230">
        <f>SUM(I13:N17)-'IV. Metodología de asignación'!D23</f>
        <v>0</v>
      </c>
    </row>
    <row r="19" spans="1:28" ht="24" customHeight="1" x14ac:dyDescent="0.2">
      <c r="A19" s="611" t="s">
        <v>53</v>
      </c>
      <c r="B19" s="173" t="s">
        <v>105</v>
      </c>
      <c r="C19" s="173"/>
      <c r="D19" s="173"/>
      <c r="E19" s="173"/>
      <c r="F19" s="173"/>
      <c r="G19" s="174"/>
      <c r="I19" s="191" t="s">
        <v>112</v>
      </c>
      <c r="J19" s="173"/>
      <c r="K19" s="173"/>
      <c r="L19" s="173"/>
      <c r="M19" s="173"/>
      <c r="N19" s="174"/>
    </row>
    <row r="20" spans="1:28" ht="24" customHeight="1" x14ac:dyDescent="0.2">
      <c r="A20" s="612"/>
      <c r="B20" s="175" t="s">
        <v>15</v>
      </c>
      <c r="C20" s="175" t="s">
        <v>16</v>
      </c>
      <c r="D20" s="175" t="s">
        <v>17</v>
      </c>
      <c r="E20" s="175" t="s">
        <v>18</v>
      </c>
      <c r="F20" s="175" t="s">
        <v>19</v>
      </c>
      <c r="G20" s="176" t="s">
        <v>20</v>
      </c>
      <c r="I20" s="192" t="s">
        <v>15</v>
      </c>
      <c r="J20" s="175" t="s">
        <v>16</v>
      </c>
      <c r="K20" s="175" t="s">
        <v>17</v>
      </c>
      <c r="L20" s="175" t="s">
        <v>18</v>
      </c>
      <c r="M20" s="175" t="s">
        <v>19</v>
      </c>
      <c r="N20" s="176" t="s">
        <v>20</v>
      </c>
    </row>
    <row r="21" spans="1:28" ht="15" customHeight="1" x14ac:dyDescent="0.2">
      <c r="A21" s="179" t="s">
        <v>10</v>
      </c>
      <c r="B21" s="180">
        <f>'I. Datos de entrada'!C115+'I. Datos de entrada'!C116</f>
        <v>142836.79122091288</v>
      </c>
      <c r="C21" s="180">
        <f>'I. Datos de entrada'!D115+'I. Datos de entrada'!D116</f>
        <v>144154.31989884569</v>
      </c>
      <c r="D21" s="180">
        <f>'I. Datos de entrada'!E115+'I. Datos de entrada'!E116</f>
        <v>144173.19473148612</v>
      </c>
      <c r="E21" s="180">
        <f>'I. Datos de entrada'!F115+'I. Datos de entrada'!F116</f>
        <v>144150.64226183482</v>
      </c>
      <c r="F21" s="180">
        <f>'I. Datos de entrada'!G115+'I. Datos de entrada'!G116</f>
        <v>144153.14033525364</v>
      </c>
      <c r="G21" s="181">
        <f>'I. Datos de entrada'!H115+'I. Datos de entrada'!H116</f>
        <v>150884.86134849314</v>
      </c>
      <c r="I21" s="193">
        <f>('I. Datos de entrada'!C101+'I. Datos de entrada'!C102)*1000</f>
        <v>13352953.905236339</v>
      </c>
      <c r="J21" s="180">
        <f>('I. Datos de entrada'!D101+'I. Datos de entrada'!D102)*1000</f>
        <v>15499863.572660718</v>
      </c>
      <c r="K21" s="180">
        <f>('I. Datos de entrada'!E101+'I. Datos de entrada'!E102)*1000</f>
        <v>12537055.459432121</v>
      </c>
      <c r="L21" s="180">
        <f>('I. Datos de entrada'!F101+'I. Datos de entrada'!F102)*1000</f>
        <v>14399039.656119326</v>
      </c>
      <c r="M21" s="180">
        <f>('I. Datos de entrada'!G101+'I. Datos de entrada'!G102)*1000</f>
        <v>5935020.6608069735</v>
      </c>
      <c r="N21" s="181">
        <f>('I. Datos de entrada'!H101+'I. Datos de entrada'!H102)*1000</f>
        <v>49825478.775382869</v>
      </c>
    </row>
    <row r="22" spans="1:28" ht="15" customHeight="1" x14ac:dyDescent="0.2">
      <c r="A22" s="182" t="s">
        <v>11</v>
      </c>
      <c r="B22" s="183">
        <f>'I. Datos de entrada'!C117</f>
        <v>19089.702881488105</v>
      </c>
      <c r="C22" s="183">
        <f>'I. Datos de entrada'!D117</f>
        <v>19951.832587354522</v>
      </c>
      <c r="D22" s="183">
        <f>'I. Datos de entrada'!E117</f>
        <v>20163.096713477771</v>
      </c>
      <c r="E22" s="183">
        <f>'I. Datos de entrada'!F117</f>
        <v>20205.001343791017</v>
      </c>
      <c r="F22" s="183">
        <f>'I. Datos de entrada'!G117</f>
        <v>20544.744513846887</v>
      </c>
      <c r="G22" s="184">
        <f>'I. Datos de entrada'!H117</f>
        <v>26038.950065725239</v>
      </c>
      <c r="I22" s="194">
        <f>'I. Datos de entrada'!C103*1000</f>
        <v>7396910.433243664</v>
      </c>
      <c r="J22" s="183">
        <f>'I. Datos de entrada'!D103*1000</f>
        <v>8809422.437853219</v>
      </c>
      <c r="K22" s="183">
        <f>'I. Datos de entrada'!E103*1000</f>
        <v>8062648.7019551285</v>
      </c>
      <c r="L22" s="183">
        <f>'I. Datos de entrada'!F103*1000</f>
        <v>9228398.2395455018</v>
      </c>
      <c r="M22" s="183">
        <f>'I. Datos de entrada'!G103*1000</f>
        <v>3893275.3913115822</v>
      </c>
      <c r="N22" s="184">
        <f>'I. Datos de entrada'!H103*1000</f>
        <v>31178037.814005971</v>
      </c>
    </row>
    <row r="23" spans="1:28" ht="15" customHeight="1" x14ac:dyDescent="0.2">
      <c r="A23" s="182" t="s">
        <v>12</v>
      </c>
      <c r="B23" s="183">
        <f>'I. Datos de entrada'!C118</f>
        <v>4197.3913423143795</v>
      </c>
      <c r="C23" s="183">
        <f>'I. Datos de entrada'!D118</f>
        <v>4375.7132519982088</v>
      </c>
      <c r="D23" s="183">
        <f>'I. Datos de entrada'!E118</f>
        <v>4473.5746519703189</v>
      </c>
      <c r="E23" s="183">
        <f>'I. Datos de entrada'!F118</f>
        <v>4382.3692561669286</v>
      </c>
      <c r="F23" s="183">
        <f>'I. Datos de entrada'!G118</f>
        <v>4592.3780592039411</v>
      </c>
      <c r="G23" s="184">
        <f>'I. Datos de entrada'!H118</f>
        <v>6178.9723482010795</v>
      </c>
      <c r="I23" s="194">
        <f>'I. Datos de entrada'!C104*1000</f>
        <v>2268514.7568242424</v>
      </c>
      <c r="J23" s="183">
        <f>'I. Datos de entrada'!D104*1000</f>
        <v>2871629.5145204309</v>
      </c>
      <c r="K23" s="183">
        <f>'I. Datos de entrada'!E104*1000</f>
        <v>2539953.0479179551</v>
      </c>
      <c r="L23" s="183">
        <f>'I. Datos de entrada'!F104*1000</f>
        <v>2900573.7498858585</v>
      </c>
      <c r="M23" s="183">
        <f>'I. Datos de entrada'!G104*1000</f>
        <v>1254844.8628044473</v>
      </c>
      <c r="N23" s="184">
        <f>'I. Datos de entrada'!H104*1000</f>
        <v>11662377.647346022</v>
      </c>
    </row>
    <row r="24" spans="1:28" ht="15" customHeight="1" x14ac:dyDescent="0.2">
      <c r="A24" s="182" t="s">
        <v>13</v>
      </c>
      <c r="B24" s="183">
        <f>'I. Datos de entrada'!C119</f>
        <v>1913.1503222777762</v>
      </c>
      <c r="C24" s="183">
        <f>'I. Datos de entrada'!D119</f>
        <v>1988.6645279309587</v>
      </c>
      <c r="D24" s="183">
        <f>'I. Datos de entrada'!E119</f>
        <v>2020.6055714990125</v>
      </c>
      <c r="E24" s="183">
        <f>'I. Datos de entrada'!F119</f>
        <v>2045.7377792187008</v>
      </c>
      <c r="F24" s="183">
        <f>'I. Datos de entrada'!G119</f>
        <v>2131.8837974023127</v>
      </c>
      <c r="G24" s="184">
        <f>'I. Datos de entrada'!H119</f>
        <v>2691.6368960022401</v>
      </c>
      <c r="I24" s="194">
        <f>'I. Datos de entrada'!C105*1000</f>
        <v>943831.52038094413</v>
      </c>
      <c r="J24" s="183">
        <f>'I. Datos de entrada'!D105*1000</f>
        <v>1218374.3919692929</v>
      </c>
      <c r="K24" s="183">
        <f>'I. Datos de entrada'!E105*1000</f>
        <v>1117378.9321985433</v>
      </c>
      <c r="L24" s="183">
        <f>'I. Datos de entrada'!F105*1000</f>
        <v>1324283.9820812158</v>
      </c>
      <c r="M24" s="183">
        <f>'I. Datos de entrada'!G105*1000</f>
        <v>590946.68677154812</v>
      </c>
      <c r="N24" s="184">
        <f>'I. Datos de entrada'!H105*1000</f>
        <v>5989976.9354976024</v>
      </c>
    </row>
    <row r="25" spans="1:28" ht="15" customHeight="1" thickBot="1" x14ac:dyDescent="0.25">
      <c r="A25" s="185" t="s">
        <v>14</v>
      </c>
      <c r="B25" s="186">
        <f>'I. Datos de entrada'!C120</f>
        <v>3193.6436036848463</v>
      </c>
      <c r="C25" s="186">
        <f>'I. Datos de entrada'!D120</f>
        <v>3407.8719858625568</v>
      </c>
      <c r="D25" s="186">
        <f>'I. Datos de entrada'!E120</f>
        <v>3638.0697032739736</v>
      </c>
      <c r="E25" s="186">
        <f>'I. Datos de entrada'!F120</f>
        <v>3886.013760915806</v>
      </c>
      <c r="F25" s="186">
        <f>'I. Datos de entrada'!G120</f>
        <v>4162.0860586925783</v>
      </c>
      <c r="G25" s="187">
        <f>'I. Datos de entrada'!H120</f>
        <v>5263.0351159496804</v>
      </c>
      <c r="I25" s="195">
        <f>'I. Datos de entrada'!C106*1000</f>
        <v>1609599.1098236628</v>
      </c>
      <c r="J25" s="186">
        <f>'I. Datos de entrada'!D106*1000</f>
        <v>2200333.3999013901</v>
      </c>
      <c r="K25" s="186">
        <f>'I. Datos de entrada'!E106*1000</f>
        <v>1945094.6918400151</v>
      </c>
      <c r="L25" s="186">
        <f>'I. Datos de entrada'!F106*1000</f>
        <v>2372513.809610995</v>
      </c>
      <c r="M25" s="186">
        <f>'I. Datos de entrada'!G106*1000</f>
        <v>1177759.2430184437</v>
      </c>
      <c r="N25" s="187">
        <f>'I. Datos de entrada'!H106*1000</f>
        <v>12264260.986923134</v>
      </c>
    </row>
    <row r="26" spans="1:28" ht="13.5" thickBot="1" x14ac:dyDescent="0.25">
      <c r="A26" s="177"/>
      <c r="B26" s="178"/>
      <c r="C26" s="178"/>
      <c r="D26" s="178"/>
      <c r="E26" s="178"/>
      <c r="F26" s="178"/>
      <c r="G26" s="178"/>
      <c r="I26" s="178">
        <f>SUM(I21:I25)-'I. Datos de entrada'!C108*1000</f>
        <v>0</v>
      </c>
      <c r="J26" s="178">
        <f>SUM(J21:J25)-'I. Datos de entrada'!D108*1000</f>
        <v>0</v>
      </c>
      <c r="K26" s="178">
        <f>SUM(K21:K25)-'I. Datos de entrada'!E108*1000</f>
        <v>0</v>
      </c>
      <c r="L26" s="178">
        <f>SUM(L21:L25)-'I. Datos de entrada'!F108*1000</f>
        <v>0</v>
      </c>
      <c r="M26" s="178">
        <f>SUM(M21:M25)-'I. Datos de entrada'!G108*1000</f>
        <v>0</v>
      </c>
      <c r="N26" s="178">
        <f>SUM(N21:N25)-'I. Datos de entrada'!H108*1000</f>
        <v>0</v>
      </c>
    </row>
    <row r="27" spans="1:28" ht="24" customHeight="1" x14ac:dyDescent="0.2">
      <c r="A27" s="611" t="s">
        <v>53</v>
      </c>
      <c r="B27" s="173" t="s">
        <v>106</v>
      </c>
      <c r="C27" s="173"/>
      <c r="D27" s="173"/>
      <c r="E27" s="173"/>
      <c r="F27" s="173"/>
      <c r="G27" s="174"/>
      <c r="I27" s="191" t="s">
        <v>111</v>
      </c>
      <c r="J27" s="173"/>
      <c r="K27" s="173"/>
      <c r="L27" s="173"/>
      <c r="M27" s="173"/>
      <c r="N27" s="174"/>
    </row>
    <row r="28" spans="1:28" ht="24" customHeight="1" x14ac:dyDescent="0.2">
      <c r="A28" s="612"/>
      <c r="B28" s="175" t="s">
        <v>15</v>
      </c>
      <c r="C28" s="175" t="s">
        <v>16</v>
      </c>
      <c r="D28" s="175" t="s">
        <v>17</v>
      </c>
      <c r="E28" s="175" t="s">
        <v>18</v>
      </c>
      <c r="F28" s="175" t="s">
        <v>19</v>
      </c>
      <c r="G28" s="176" t="s">
        <v>20</v>
      </c>
      <c r="I28" s="192" t="s">
        <v>15</v>
      </c>
      <c r="J28" s="175" t="s">
        <v>16</v>
      </c>
      <c r="K28" s="175" t="s">
        <v>17</v>
      </c>
      <c r="L28" s="175" t="s">
        <v>18</v>
      </c>
      <c r="M28" s="175" t="s">
        <v>19</v>
      </c>
      <c r="N28" s="176" t="s">
        <v>20</v>
      </c>
    </row>
    <row r="29" spans="1:28" ht="15" customHeight="1" x14ac:dyDescent="0.2">
      <c r="A29" s="179" t="s">
        <v>10</v>
      </c>
      <c r="B29" s="215">
        <f>B13/B21</f>
        <v>1.504138333370671</v>
      </c>
      <c r="C29" s="215">
        <f t="shared" ref="B29:G33" si="0">C13/C21</f>
        <v>1.2713164474525085</v>
      </c>
      <c r="D29" s="215">
        <f t="shared" si="0"/>
        <v>0.56358609890673295</v>
      </c>
      <c r="E29" s="215">
        <f t="shared" si="0"/>
        <v>0.4440907576358239</v>
      </c>
      <c r="F29" s="215">
        <f t="shared" si="0"/>
        <v>6.7486016901377463E-3</v>
      </c>
      <c r="G29" s="216">
        <f t="shared" si="0"/>
        <v>0.14808086655000363</v>
      </c>
      <c r="I29" s="221">
        <f t="shared" ref="I29:N33" si="1">I13/I21</f>
        <v>4.7463389672522307E-3</v>
      </c>
      <c r="J29" s="222">
        <f t="shared" si="1"/>
        <v>3.8744089150882927E-3</v>
      </c>
      <c r="K29" s="222">
        <f t="shared" si="1"/>
        <v>2.0709185844467125E-3</v>
      </c>
      <c r="L29" s="222">
        <f t="shared" si="1"/>
        <v>1.3969554770983303E-3</v>
      </c>
      <c r="M29" s="222">
        <f t="shared" si="1"/>
        <v>5.2016560090105911E-5</v>
      </c>
      <c r="N29" s="223">
        <f t="shared" si="1"/>
        <v>1.1069238200596648E-4</v>
      </c>
      <c r="Q29" s="309"/>
      <c r="R29" s="309"/>
      <c r="S29" s="309"/>
      <c r="T29" s="309"/>
      <c r="U29" s="309"/>
      <c r="W29" s="309"/>
      <c r="X29" s="309"/>
      <c r="Y29" s="309"/>
      <c r="Z29" s="309"/>
      <c r="AA29" s="309"/>
      <c r="AB29" s="309"/>
    </row>
    <row r="30" spans="1:28" ht="15" customHeight="1" x14ac:dyDescent="0.2">
      <c r="A30" s="182" t="s">
        <v>11</v>
      </c>
      <c r="B30" s="217">
        <f t="shared" si="0"/>
        <v>4.4018737082928698</v>
      </c>
      <c r="C30" s="217">
        <f t="shared" si="0"/>
        <v>5.5498156089706798</v>
      </c>
      <c r="D30" s="217">
        <f t="shared" si="0"/>
        <v>2.6754910584691607</v>
      </c>
      <c r="E30" s="217">
        <f t="shared" si="0"/>
        <v>2.0614792351480888</v>
      </c>
      <c r="F30" s="217">
        <f t="shared" si="0"/>
        <v>3.0251859645021029E-2</v>
      </c>
      <c r="G30" s="218">
        <f t="shared" si="0"/>
        <v>0.28193514307423623</v>
      </c>
      <c r="I30" s="224">
        <f t="shared" si="1"/>
        <v>4.6421419003394972E-3</v>
      </c>
      <c r="J30" s="225">
        <f t="shared" si="1"/>
        <v>3.7889385559602483E-3</v>
      </c>
      <c r="K30" s="225">
        <f t="shared" si="1"/>
        <v>2.1149003332894059E-3</v>
      </c>
      <c r="L30" s="225">
        <f t="shared" si="1"/>
        <v>1.4143203787274651E-3</v>
      </c>
      <c r="M30" s="225">
        <f t="shared" si="1"/>
        <v>5.6510803787574835E-5</v>
      </c>
      <c r="N30" s="226">
        <f t="shared" si="1"/>
        <v>1.083052459220471E-4</v>
      </c>
      <c r="Q30" s="309"/>
      <c r="R30" s="309"/>
      <c r="S30" s="309"/>
      <c r="T30" s="309"/>
      <c r="U30" s="309"/>
      <c r="W30" s="309"/>
      <c r="X30" s="309"/>
      <c r="Y30" s="309"/>
      <c r="Z30" s="309"/>
      <c r="AA30" s="309"/>
      <c r="AB30" s="309"/>
    </row>
    <row r="31" spans="1:28" ht="15" customHeight="1" x14ac:dyDescent="0.2">
      <c r="A31" s="182" t="s">
        <v>12</v>
      </c>
      <c r="B31" s="217">
        <f t="shared" si="0"/>
        <v>5.418731537530153</v>
      </c>
      <c r="C31" s="217">
        <f>C15/C23</f>
        <v>5.6986572044931414</v>
      </c>
      <c r="D31" s="217">
        <f t="shared" si="0"/>
        <v>2.8390757031664973</v>
      </c>
      <c r="E31" s="217">
        <f t="shared" si="0"/>
        <v>2.2388898085411233</v>
      </c>
      <c r="F31" s="217">
        <f t="shared" si="0"/>
        <v>3.5611978865697939E-2</v>
      </c>
      <c r="G31" s="218">
        <f t="shared" si="0"/>
        <v>0.32321922280572418</v>
      </c>
      <c r="I31" s="224">
        <f t="shared" si="1"/>
        <v>3.7309764423858671E-3</v>
      </c>
      <c r="J31" s="225">
        <f t="shared" si="1"/>
        <v>3.0378213624784947E-3</v>
      </c>
      <c r="K31" s="225">
        <f t="shared" si="1"/>
        <v>1.7997543260227075E-3</v>
      </c>
      <c r="L31" s="225">
        <f t="shared" si="1"/>
        <v>1.035079941893917E-3</v>
      </c>
      <c r="M31" s="225">
        <f t="shared" si="1"/>
        <v>5.2598546712294793E-5</v>
      </c>
      <c r="N31" s="226">
        <f t="shared" si="1"/>
        <v>8.6819077007541535E-5</v>
      </c>
      <c r="Q31" s="309"/>
      <c r="R31" s="309"/>
      <c r="S31" s="309"/>
      <c r="T31" s="309"/>
      <c r="U31" s="309"/>
      <c r="W31" s="309"/>
      <c r="X31" s="309"/>
      <c r="Y31" s="309"/>
      <c r="Z31" s="309"/>
      <c r="AA31" s="309"/>
      <c r="AB31" s="309"/>
    </row>
    <row r="32" spans="1:28" ht="15" customHeight="1" x14ac:dyDescent="0.2">
      <c r="A32" s="182" t="s">
        <v>13</v>
      </c>
      <c r="B32" s="217">
        <f t="shared" si="0"/>
        <v>5.257975819844277</v>
      </c>
      <c r="C32" s="217">
        <f t="shared" si="0"/>
        <v>5.7169000121795408</v>
      </c>
      <c r="D32" s="217">
        <f t="shared" si="0"/>
        <v>2.8484819009341935</v>
      </c>
      <c r="E32" s="217">
        <f t="shared" si="0"/>
        <v>2.2294366437121873</v>
      </c>
      <c r="F32" s="217">
        <f t="shared" si="0"/>
        <v>3.8652275376378435E-2</v>
      </c>
      <c r="G32" s="218">
        <f t="shared" si="0"/>
        <v>0.46381475291199625</v>
      </c>
      <c r="I32" s="224">
        <f t="shared" si="1"/>
        <v>4.2595539757638084E-3</v>
      </c>
      <c r="J32" s="225">
        <f t="shared" si="1"/>
        <v>3.5103837171930581E-3</v>
      </c>
      <c r="K32" s="225">
        <f t="shared" si="1"/>
        <v>2.0403497534412472E-3</v>
      </c>
      <c r="L32" s="225">
        <f t="shared" si="1"/>
        <v>1.2778831707198487E-3</v>
      </c>
      <c r="M32" s="225">
        <f t="shared" si="1"/>
        <v>5.5252166890352143E-5</v>
      </c>
      <c r="N32" s="226">
        <f t="shared" si="1"/>
        <v>1.042562669584587E-4</v>
      </c>
      <c r="Q32" s="309"/>
      <c r="R32" s="309"/>
      <c r="S32" s="309"/>
      <c r="T32" s="309"/>
      <c r="U32" s="309"/>
      <c r="W32" s="309"/>
      <c r="X32" s="309"/>
      <c r="Y32" s="309"/>
      <c r="Z32" s="309"/>
      <c r="AA32" s="309"/>
      <c r="AB32" s="309"/>
    </row>
    <row r="33" spans="1:28" ht="15" customHeight="1" thickBot="1" x14ac:dyDescent="0.25">
      <c r="A33" s="185" t="s">
        <v>14</v>
      </c>
      <c r="B33" s="219">
        <f t="shared" si="0"/>
        <v>10.314367563078976</v>
      </c>
      <c r="C33" s="219">
        <f t="shared" si="0"/>
        <v>7.8940623519066131</v>
      </c>
      <c r="D33" s="219">
        <f t="shared" si="0"/>
        <v>3.7972350814549469</v>
      </c>
      <c r="E33" s="219">
        <f t="shared" si="0"/>
        <v>2.7952903251145313</v>
      </c>
      <c r="F33" s="219">
        <f t="shared" si="0"/>
        <v>6.7176619128321402E-2</v>
      </c>
      <c r="G33" s="220">
        <f t="shared" si="0"/>
        <v>0.89264080641041788</v>
      </c>
      <c r="I33" s="227">
        <f t="shared" si="1"/>
        <v>7.0459188439990399E-3</v>
      </c>
      <c r="J33" s="228">
        <f t="shared" si="1"/>
        <v>5.7425392421501719E-3</v>
      </c>
      <c r="K33" s="228">
        <f t="shared" si="1"/>
        <v>3.0629374453556837E-3</v>
      </c>
      <c r="L33" s="228">
        <f t="shared" si="1"/>
        <v>2.4333086562384849E-3</v>
      </c>
      <c r="M33" s="228">
        <f t="shared" si="1"/>
        <v>6.7283929304316577E-5</v>
      </c>
      <c r="N33" s="229">
        <f t="shared" si="1"/>
        <v>1.6418636086397841E-4</v>
      </c>
      <c r="Q33" s="309"/>
      <c r="R33" s="309"/>
      <c r="S33" s="309"/>
      <c r="T33" s="309"/>
      <c r="U33" s="309"/>
      <c r="W33" s="309"/>
      <c r="X33" s="309"/>
      <c r="Y33" s="309"/>
      <c r="Z33" s="309"/>
      <c r="AA33" s="309"/>
      <c r="AB33" s="309"/>
    </row>
    <row r="34" spans="1:28" x14ac:dyDescent="0.2">
      <c r="B34" s="306"/>
      <c r="C34" s="306"/>
      <c r="D34" s="306"/>
      <c r="E34" s="306"/>
      <c r="F34" s="306"/>
      <c r="G34" s="306"/>
    </row>
    <row r="35" spans="1:28" s="5" customFormat="1" ht="16.5" customHeight="1" x14ac:dyDescent="0.2">
      <c r="A35" s="5" t="s">
        <v>113</v>
      </c>
      <c r="P35"/>
    </row>
    <row r="36" spans="1:28" ht="5.0999999999999996" customHeight="1" thickBot="1" x14ac:dyDescent="0.25">
      <c r="A36" s="203"/>
      <c r="B36" s="205"/>
      <c r="C36" s="40"/>
    </row>
    <row r="37" spans="1:28" ht="18" customHeight="1" x14ac:dyDescent="0.2">
      <c r="A37" s="611" t="s">
        <v>53</v>
      </c>
      <c r="B37" s="173" t="s">
        <v>95</v>
      </c>
      <c r="C37" s="173"/>
      <c r="D37" s="173"/>
      <c r="E37" s="173"/>
      <c r="F37" s="173"/>
      <c r="G37" s="174"/>
      <c r="I37" s="191" t="s">
        <v>96</v>
      </c>
      <c r="J37" s="173"/>
      <c r="K37" s="173"/>
      <c r="L37" s="173"/>
      <c r="M37" s="173"/>
      <c r="N37" s="174"/>
    </row>
    <row r="38" spans="1:28" ht="18" customHeight="1" x14ac:dyDescent="0.2">
      <c r="A38" s="612"/>
      <c r="B38" s="175" t="s">
        <v>15</v>
      </c>
      <c r="C38" s="175" t="s">
        <v>16</v>
      </c>
      <c r="D38" s="175" t="s">
        <v>17</v>
      </c>
      <c r="E38" s="175" t="s">
        <v>18</v>
      </c>
      <c r="F38" s="175" t="s">
        <v>19</v>
      </c>
      <c r="G38" s="176" t="s">
        <v>20</v>
      </c>
      <c r="I38" s="192" t="s">
        <v>15</v>
      </c>
      <c r="J38" s="175" t="s">
        <v>16</v>
      </c>
      <c r="K38" s="175" t="s">
        <v>17</v>
      </c>
      <c r="L38" s="175" t="s">
        <v>18</v>
      </c>
      <c r="M38" s="175" t="s">
        <v>19</v>
      </c>
      <c r="N38" s="176" t="s">
        <v>20</v>
      </c>
    </row>
    <row r="39" spans="1:28" ht="15" customHeight="1" x14ac:dyDescent="0.2">
      <c r="A39" s="179" t="s">
        <v>10</v>
      </c>
      <c r="B39" s="206">
        <f t="shared" ref="B39:G43" si="2">B29/$G29</f>
        <v>10.157546808133763</v>
      </c>
      <c r="C39" s="206">
        <f t="shared" si="2"/>
        <v>8.5852850342634444</v>
      </c>
      <c r="D39" s="206">
        <f t="shared" si="2"/>
        <v>3.8059346358323909</v>
      </c>
      <c r="E39" s="206">
        <f t="shared" si="2"/>
        <v>2.9989746007183467</v>
      </c>
      <c r="F39" s="206">
        <f t="shared" si="2"/>
        <v>4.5573758766861976E-2</v>
      </c>
      <c r="G39" s="209">
        <f t="shared" si="2"/>
        <v>1</v>
      </c>
      <c r="I39" s="208">
        <f t="shared" ref="I39:N43" si="3">I29/$N29</f>
        <v>42.878641522019066</v>
      </c>
      <c r="J39" s="206">
        <f t="shared" si="3"/>
        <v>35.001585880403731</v>
      </c>
      <c r="K39" s="206">
        <f t="shared" si="3"/>
        <v>18.70877242785404</v>
      </c>
      <c r="L39" s="206">
        <f t="shared" si="3"/>
        <v>12.620159145396585</v>
      </c>
      <c r="M39" s="206">
        <f t="shared" si="3"/>
        <v>0.46991996330246233</v>
      </c>
      <c r="N39" s="209">
        <f t="shared" si="3"/>
        <v>1</v>
      </c>
    </row>
    <row r="40" spans="1:28" ht="15" customHeight="1" x14ac:dyDescent="0.2">
      <c r="A40" s="182" t="s">
        <v>11</v>
      </c>
      <c r="B40" s="207">
        <f t="shared" si="2"/>
        <v>15.613072071450896</v>
      </c>
      <c r="C40" s="207">
        <f t="shared" si="2"/>
        <v>19.684724466964944</v>
      </c>
      <c r="D40" s="207">
        <f t="shared" si="2"/>
        <v>9.4897394815540199</v>
      </c>
      <c r="E40" s="207">
        <f t="shared" si="2"/>
        <v>7.3118917090987896</v>
      </c>
      <c r="F40" s="207">
        <f t="shared" si="2"/>
        <v>0.10730077604073439</v>
      </c>
      <c r="G40" s="211">
        <f t="shared" si="2"/>
        <v>1</v>
      </c>
      <c r="I40" s="210">
        <f t="shared" si="3"/>
        <v>42.861653291297515</v>
      </c>
      <c r="J40" s="207">
        <f t="shared" si="3"/>
        <v>34.983887656626933</v>
      </c>
      <c r="K40" s="207">
        <f t="shared" si="3"/>
        <v>19.52721971391496</v>
      </c>
      <c r="L40" s="207">
        <f t="shared" si="3"/>
        <v>13.058650730043352</v>
      </c>
      <c r="M40" s="207">
        <f t="shared" si="3"/>
        <v>0.52177346818683734</v>
      </c>
      <c r="N40" s="211">
        <f t="shared" si="3"/>
        <v>1</v>
      </c>
    </row>
    <row r="41" spans="1:28" ht="15" customHeight="1" x14ac:dyDescent="0.2">
      <c r="A41" s="182" t="s">
        <v>12</v>
      </c>
      <c r="B41" s="207">
        <f t="shared" si="2"/>
        <v>16.764880165519003</v>
      </c>
      <c r="C41" s="207">
        <f t="shared" si="2"/>
        <v>17.630935298419445</v>
      </c>
      <c r="D41" s="207">
        <f t="shared" si="2"/>
        <v>8.783746457038438</v>
      </c>
      <c r="E41" s="207">
        <f t="shared" si="2"/>
        <v>6.9268460864001336</v>
      </c>
      <c r="F41" s="207">
        <f t="shared" si="2"/>
        <v>0.11017902511046831</v>
      </c>
      <c r="G41" s="211">
        <f t="shared" si="2"/>
        <v>1</v>
      </c>
      <c r="I41" s="210">
        <f t="shared" si="3"/>
        <v>42.974154655684444</v>
      </c>
      <c r="J41" s="207">
        <f t="shared" si="3"/>
        <v>34.990251764766107</v>
      </c>
      <c r="K41" s="207">
        <f t="shared" si="3"/>
        <v>20.729940792463989</v>
      </c>
      <c r="L41" s="207">
        <f t="shared" si="3"/>
        <v>11.92226383383464</v>
      </c>
      <c r="M41" s="207">
        <f t="shared" si="3"/>
        <v>0.60584088803116187</v>
      </c>
      <c r="N41" s="211">
        <f t="shared" si="3"/>
        <v>1</v>
      </c>
    </row>
    <row r="42" spans="1:28" ht="15" customHeight="1" x14ac:dyDescent="0.2">
      <c r="A42" s="182" t="s">
        <v>13</v>
      </c>
      <c r="B42" s="207">
        <f t="shared" si="2"/>
        <v>11.336370365178789</v>
      </c>
      <c r="C42" s="207">
        <f t="shared" si="2"/>
        <v>12.325826154271249</v>
      </c>
      <c r="D42" s="207">
        <f t="shared" si="2"/>
        <v>6.141421511606513</v>
      </c>
      <c r="E42" s="207">
        <f t="shared" si="2"/>
        <v>4.8067393926454045</v>
      </c>
      <c r="F42" s="207">
        <f t="shared" si="2"/>
        <v>8.3335588472995978E-2</v>
      </c>
      <c r="G42" s="211">
        <f t="shared" si="2"/>
        <v>1</v>
      </c>
      <c r="I42" s="210">
        <f t="shared" si="3"/>
        <v>40.856574861452152</v>
      </c>
      <c r="J42" s="207">
        <f t="shared" si="3"/>
        <v>33.670721383029985</v>
      </c>
      <c r="K42" s="207">
        <f t="shared" si="3"/>
        <v>19.570523796466183</v>
      </c>
      <c r="L42" s="207">
        <f t="shared" si="3"/>
        <v>12.257135307070087</v>
      </c>
      <c r="M42" s="207">
        <f t="shared" si="3"/>
        <v>0.52996494601487676</v>
      </c>
      <c r="N42" s="211">
        <f t="shared" si="3"/>
        <v>1</v>
      </c>
    </row>
    <row r="43" spans="1:28" ht="15" customHeight="1" thickBot="1" x14ac:dyDescent="0.25">
      <c r="A43" s="185" t="s">
        <v>14</v>
      </c>
      <c r="B43" s="213">
        <f t="shared" si="2"/>
        <v>11.5548913840901</v>
      </c>
      <c r="C43" s="213">
        <f t="shared" si="2"/>
        <v>8.8434925842692049</v>
      </c>
      <c r="D43" s="213">
        <f t="shared" si="2"/>
        <v>4.2539340059130755</v>
      </c>
      <c r="E43" s="213">
        <f t="shared" si="2"/>
        <v>3.1314839127232488</v>
      </c>
      <c r="F43" s="213">
        <f t="shared" si="2"/>
        <v>7.5256047724794439E-2</v>
      </c>
      <c r="G43" s="214">
        <f t="shared" si="2"/>
        <v>1</v>
      </c>
      <c r="I43" s="212">
        <f t="shared" si="3"/>
        <v>42.914154421366895</v>
      </c>
      <c r="J43" s="213">
        <f t="shared" si="3"/>
        <v>34.975738617579978</v>
      </c>
      <c r="K43" s="213">
        <f t="shared" si="3"/>
        <v>18.65524900629962</v>
      </c>
      <c r="L43" s="213">
        <f t="shared" si="3"/>
        <v>14.820406783084621</v>
      </c>
      <c r="M43" s="213">
        <f t="shared" si="3"/>
        <v>0.40980218423903386</v>
      </c>
      <c r="N43" s="214">
        <f t="shared" si="3"/>
        <v>1</v>
      </c>
    </row>
    <row r="65" spans="1:14" s="5" customFormat="1" ht="16.5" customHeight="1" x14ac:dyDescent="0.2">
      <c r="A65" s="5" t="s">
        <v>114</v>
      </c>
    </row>
    <row r="66" spans="1:14" ht="5.0999999999999996" customHeight="1" thickBot="1" x14ac:dyDescent="0.25">
      <c r="A66" s="203"/>
      <c r="B66" s="205"/>
      <c r="C66" s="40"/>
    </row>
    <row r="67" spans="1:14" ht="18" customHeight="1" x14ac:dyDescent="0.2">
      <c r="A67" s="611" t="s">
        <v>53</v>
      </c>
      <c r="B67" s="173" t="s">
        <v>95</v>
      </c>
      <c r="C67" s="173"/>
      <c r="D67" s="173"/>
      <c r="E67" s="173"/>
      <c r="F67" s="173"/>
      <c r="G67" s="174"/>
      <c r="I67" s="191" t="s">
        <v>96</v>
      </c>
      <c r="J67" s="173"/>
      <c r="K67" s="173"/>
      <c r="L67" s="173"/>
      <c r="M67" s="173"/>
      <c r="N67" s="174"/>
    </row>
    <row r="68" spans="1:14" ht="18" customHeight="1" x14ac:dyDescent="0.2">
      <c r="A68" s="612"/>
      <c r="B68" s="175" t="s">
        <v>15</v>
      </c>
      <c r="C68" s="175" t="s">
        <v>16</v>
      </c>
      <c r="D68" s="175" t="s">
        <v>17</v>
      </c>
      <c r="E68" s="175" t="s">
        <v>18</v>
      </c>
      <c r="F68" s="175" t="s">
        <v>19</v>
      </c>
      <c r="G68" s="176" t="s">
        <v>20</v>
      </c>
      <c r="I68" s="192" t="s">
        <v>15</v>
      </c>
      <c r="J68" s="175" t="s">
        <v>16</v>
      </c>
      <c r="K68" s="175" t="s">
        <v>17</v>
      </c>
      <c r="L68" s="175" t="s">
        <v>18</v>
      </c>
      <c r="M68" s="175" t="s">
        <v>19</v>
      </c>
      <c r="N68" s="176" t="s">
        <v>20</v>
      </c>
    </row>
    <row r="69" spans="1:14" ht="18" customHeight="1" x14ac:dyDescent="0.2">
      <c r="A69" s="179" t="s">
        <v>10</v>
      </c>
      <c r="B69" s="206">
        <f t="shared" ref="B69:G73" si="4">B29/B$33</f>
        <v>0.14582942911156693</v>
      </c>
      <c r="C69" s="206">
        <f t="shared" si="4"/>
        <v>0.16104717581125438</v>
      </c>
      <c r="D69" s="206">
        <f t="shared" si="4"/>
        <v>0.14842012327843276</v>
      </c>
      <c r="E69" s="206">
        <f t="shared" si="4"/>
        <v>0.15887106739713278</v>
      </c>
      <c r="F69" s="206">
        <f t="shared" si="4"/>
        <v>0.10046057359996793</v>
      </c>
      <c r="G69" s="209">
        <f t="shared" si="4"/>
        <v>0.16589076534096861</v>
      </c>
      <c r="I69" s="208">
        <f t="shared" ref="I69:N73" si="5">I29/I$33</f>
        <v>0.67362952545141142</v>
      </c>
      <c r="J69" s="206">
        <f t="shared" si="5"/>
        <v>0.67468566634254334</v>
      </c>
      <c r="K69" s="206">
        <f t="shared" si="5"/>
        <v>0.67612173653328633</v>
      </c>
      <c r="L69" s="206">
        <f t="shared" si="5"/>
        <v>0.5740971140331228</v>
      </c>
      <c r="M69" s="206">
        <f t="shared" si="5"/>
        <v>0.77309040402265583</v>
      </c>
      <c r="N69" s="209">
        <f t="shared" si="5"/>
        <v>0.67418743812508597</v>
      </c>
    </row>
    <row r="70" spans="1:14" ht="18" customHeight="1" x14ac:dyDescent="0.2">
      <c r="A70" s="182" t="s">
        <v>11</v>
      </c>
      <c r="B70" s="207">
        <f t="shared" si="4"/>
        <v>0.42677107262006975</v>
      </c>
      <c r="C70" s="207">
        <f t="shared" si="4"/>
        <v>0.70303670804300922</v>
      </c>
      <c r="D70" s="207">
        <f t="shared" si="4"/>
        <v>0.70458926062697724</v>
      </c>
      <c r="E70" s="207">
        <f t="shared" si="4"/>
        <v>0.73748305019573379</v>
      </c>
      <c r="F70" s="207">
        <f t="shared" si="4"/>
        <v>0.45033316706864401</v>
      </c>
      <c r="G70" s="211">
        <f t="shared" si="4"/>
        <v>0.31584388821297987</v>
      </c>
      <c r="I70" s="210">
        <f t="shared" si="5"/>
        <v>0.65884123889578672</v>
      </c>
      <c r="J70" s="207">
        <f t="shared" si="5"/>
        <v>0.65980194408589898</v>
      </c>
      <c r="K70" s="207">
        <f t="shared" si="5"/>
        <v>0.69048107283294946</v>
      </c>
      <c r="L70" s="207">
        <f t="shared" si="5"/>
        <v>0.58123344734809912</v>
      </c>
      <c r="M70" s="207">
        <f t="shared" si="5"/>
        <v>0.83988560673951906</v>
      </c>
      <c r="N70" s="211">
        <f t="shared" si="5"/>
        <v>0.65964825185310927</v>
      </c>
    </row>
    <row r="71" spans="1:14" ht="18" customHeight="1" x14ac:dyDescent="0.2">
      <c r="A71" s="182" t="s">
        <v>12</v>
      </c>
      <c r="B71" s="207">
        <f t="shared" si="4"/>
        <v>0.52535761445295914</v>
      </c>
      <c r="C71" s="207">
        <f t="shared" si="4"/>
        <v>0.72189158768384609</v>
      </c>
      <c r="D71" s="207">
        <f t="shared" si="4"/>
        <v>0.74766919673529353</v>
      </c>
      <c r="E71" s="207">
        <f t="shared" si="4"/>
        <v>0.80095072358875252</v>
      </c>
      <c r="F71" s="207">
        <f t="shared" si="4"/>
        <v>0.53012460775484405</v>
      </c>
      <c r="G71" s="211">
        <f t="shared" si="4"/>
        <v>0.36209326358884231</v>
      </c>
      <c r="I71" s="210">
        <f t="shared" si="5"/>
        <v>0.52952305085993345</v>
      </c>
      <c r="J71" s="207">
        <f t="shared" si="5"/>
        <v>0.52900315250454377</v>
      </c>
      <c r="K71" s="207">
        <f t="shared" si="5"/>
        <v>0.58759095088659608</v>
      </c>
      <c r="L71" s="207">
        <f t="shared" si="5"/>
        <v>0.42537963247703597</v>
      </c>
      <c r="M71" s="207">
        <f t="shared" si="5"/>
        <v>0.78174011619324901</v>
      </c>
      <c r="N71" s="211">
        <f t="shared" si="5"/>
        <v>0.52878373423153913</v>
      </c>
    </row>
    <row r="72" spans="1:14" ht="18" customHeight="1" x14ac:dyDescent="0.2">
      <c r="A72" s="182" t="s">
        <v>13</v>
      </c>
      <c r="B72" s="207">
        <f t="shared" si="4"/>
        <v>0.50977200373056142</v>
      </c>
      <c r="C72" s="207">
        <f t="shared" si="4"/>
        <v>0.72420254076138213</v>
      </c>
      <c r="D72" s="207">
        <f t="shared" si="4"/>
        <v>0.75014631431319512</v>
      </c>
      <c r="E72" s="207">
        <f t="shared" si="4"/>
        <v>0.79756890498336364</v>
      </c>
      <c r="F72" s="207">
        <f t="shared" si="4"/>
        <v>0.57538286204229039</v>
      </c>
      <c r="G72" s="211">
        <f t="shared" si="4"/>
        <v>0.51959842030652559</v>
      </c>
      <c r="I72" s="210">
        <f t="shared" si="5"/>
        <v>0.60454201504061333</v>
      </c>
      <c r="J72" s="207">
        <f t="shared" si="5"/>
        <v>0.61129468501092377</v>
      </c>
      <c r="K72" s="207">
        <f t="shared" si="5"/>
        <v>0.66614150299903085</v>
      </c>
      <c r="L72" s="207">
        <f t="shared" si="5"/>
        <v>0.52516279323777049</v>
      </c>
      <c r="M72" s="207">
        <f t="shared" si="5"/>
        <v>0.82117925426818761</v>
      </c>
      <c r="N72" s="211">
        <f t="shared" si="5"/>
        <v>0.63498737903589142</v>
      </c>
    </row>
    <row r="73" spans="1:14" ht="18" customHeight="1" thickBot="1" x14ac:dyDescent="0.25">
      <c r="A73" s="185" t="s">
        <v>14</v>
      </c>
      <c r="B73" s="213">
        <f t="shared" si="4"/>
        <v>1</v>
      </c>
      <c r="C73" s="213">
        <f t="shared" si="4"/>
        <v>1</v>
      </c>
      <c r="D73" s="213">
        <f t="shared" si="4"/>
        <v>1</v>
      </c>
      <c r="E73" s="213">
        <f t="shared" si="4"/>
        <v>1</v>
      </c>
      <c r="F73" s="213">
        <f t="shared" si="4"/>
        <v>1</v>
      </c>
      <c r="G73" s="214">
        <f t="shared" si="4"/>
        <v>1</v>
      </c>
      <c r="I73" s="212">
        <f t="shared" si="5"/>
        <v>1</v>
      </c>
      <c r="J73" s="213">
        <f t="shared" si="5"/>
        <v>1</v>
      </c>
      <c r="K73" s="213">
        <f t="shared" si="5"/>
        <v>1</v>
      </c>
      <c r="L73" s="213">
        <f t="shared" si="5"/>
        <v>1</v>
      </c>
      <c r="M73" s="213">
        <f t="shared" si="5"/>
        <v>1</v>
      </c>
      <c r="N73" s="214">
        <f t="shared" si="5"/>
        <v>1</v>
      </c>
    </row>
    <row r="75" spans="1:14" s="5" customFormat="1" ht="16.5" customHeight="1" x14ac:dyDescent="0.2">
      <c r="A75" s="5" t="s">
        <v>121</v>
      </c>
    </row>
    <row r="76" spans="1:14" ht="5.0999999999999996" customHeight="1" thickBot="1" x14ac:dyDescent="0.25"/>
    <row r="77" spans="1:14" ht="18" customHeight="1" x14ac:dyDescent="0.2">
      <c r="A77" s="611" t="s">
        <v>97</v>
      </c>
      <c r="B77" s="173" t="s">
        <v>122</v>
      </c>
      <c r="C77" s="173"/>
      <c r="D77" s="173"/>
      <c r="E77" s="173"/>
      <c r="F77" s="173"/>
      <c r="G77" s="174"/>
      <c r="I77" s="191" t="s">
        <v>123</v>
      </c>
      <c r="J77" s="173"/>
      <c r="K77" s="173"/>
      <c r="L77" s="173"/>
      <c r="M77" s="173"/>
      <c r="N77" s="174"/>
    </row>
    <row r="78" spans="1:14" ht="18" customHeight="1" x14ac:dyDescent="0.2">
      <c r="A78" s="612"/>
      <c r="B78" s="175" t="s">
        <v>15</v>
      </c>
      <c r="C78" s="175" t="s">
        <v>16</v>
      </c>
      <c r="D78" s="175" t="s">
        <v>17</v>
      </c>
      <c r="E78" s="175" t="s">
        <v>18</v>
      </c>
      <c r="F78" s="175" t="s">
        <v>19</v>
      </c>
      <c r="G78" s="176" t="s">
        <v>20</v>
      </c>
      <c r="I78" s="192" t="s">
        <v>15</v>
      </c>
      <c r="J78" s="175" t="s">
        <v>16</v>
      </c>
      <c r="K78" s="175" t="s">
        <v>17</v>
      </c>
      <c r="L78" s="175" t="s">
        <v>18</v>
      </c>
      <c r="M78" s="175" t="s">
        <v>19</v>
      </c>
      <c r="N78" s="176" t="s">
        <v>20</v>
      </c>
    </row>
    <row r="79" spans="1:14" ht="18" customHeight="1" x14ac:dyDescent="0.2">
      <c r="A79" s="236" t="s">
        <v>98</v>
      </c>
      <c r="B79" s="500">
        <f>SUM(B80:F80)</f>
        <v>3.8621587220504399</v>
      </c>
      <c r="C79" s="237">
        <f>G80</f>
        <v>7.9027084684703555E-2</v>
      </c>
      <c r="D79" s="237"/>
      <c r="E79" s="237"/>
      <c r="F79" s="237"/>
      <c r="G79" s="238"/>
      <c r="I79" s="248">
        <f>I29</f>
        <v>4.7463389672522307E-3</v>
      </c>
      <c r="J79" s="246">
        <f t="shared" ref="J79:L79" si="6">J29</f>
        <v>3.8744089150882927E-3</v>
      </c>
      <c r="K79" s="246">
        <f t="shared" si="6"/>
        <v>2.0709185844467125E-3</v>
      </c>
      <c r="L79" s="245">
        <f t="shared" si="6"/>
        <v>1.3969554770983303E-3</v>
      </c>
      <c r="M79" s="531">
        <f>SUM(M13:N13)/SUM(M21:N21)</f>
        <v>1.0444706105508479E-4</v>
      </c>
      <c r="N79" s="247">
        <f>M79</f>
        <v>1.0444706105508479E-4</v>
      </c>
    </row>
    <row r="80" spans="1:14" ht="18" customHeight="1" x14ac:dyDescent="0.2">
      <c r="A80" s="239" t="s">
        <v>99</v>
      </c>
      <c r="B80" s="240">
        <f>B29</f>
        <v>1.504138333370671</v>
      </c>
      <c r="C80" s="240">
        <f t="shared" ref="B80:E84" si="7">C29</f>
        <v>1.2713164474525085</v>
      </c>
      <c r="D80" s="240">
        <f t="shared" si="7"/>
        <v>0.56358609890673295</v>
      </c>
      <c r="E80" s="240">
        <f t="shared" si="7"/>
        <v>0.4440907576358239</v>
      </c>
      <c r="F80" s="533">
        <f>SUM(F13:G13)/SUM(F21:G21)</f>
        <v>7.9027084684703555E-2</v>
      </c>
      <c r="G80" s="241">
        <f>F80</f>
        <v>7.9027084684703555E-2</v>
      </c>
      <c r="I80" s="248">
        <f t="shared" ref="I80:L84" si="8">I29</f>
        <v>4.7463389672522307E-3</v>
      </c>
      <c r="J80" s="246">
        <f t="shared" si="8"/>
        <v>3.8744089150882927E-3</v>
      </c>
      <c r="K80" s="246">
        <f t="shared" si="8"/>
        <v>2.0709185844467125E-3</v>
      </c>
      <c r="L80" s="246">
        <f t="shared" si="8"/>
        <v>1.3969554770983303E-3</v>
      </c>
      <c r="M80" s="531">
        <f>SUM(M13:N13)/SUM(M21:N21)</f>
        <v>1.0444706105508479E-4</v>
      </c>
      <c r="N80" s="249">
        <f>M80</f>
        <v>1.0444706105508479E-4</v>
      </c>
    </row>
    <row r="81" spans="1:17" ht="18" customHeight="1" x14ac:dyDescent="0.2">
      <c r="A81" s="239" t="s">
        <v>100</v>
      </c>
      <c r="B81" s="533">
        <f>SUM(B14:C14)/SUM(B22:C22)</f>
        <v>4.988519298618372</v>
      </c>
      <c r="C81" s="533">
        <f>B81</f>
        <v>4.988519298618372</v>
      </c>
      <c r="D81" s="240">
        <f t="shared" si="7"/>
        <v>2.6754910584691607</v>
      </c>
      <c r="E81" s="240">
        <f t="shared" si="7"/>
        <v>2.0614792351480888</v>
      </c>
      <c r="F81" s="533">
        <f>SUM(F14:G14)/SUM(F22:G22)</f>
        <v>0.17093560121465121</v>
      </c>
      <c r="G81" s="241">
        <f t="shared" ref="G81:G84" si="9">F81</f>
        <v>0.17093560121465121</v>
      </c>
      <c r="I81" s="248">
        <f t="shared" si="8"/>
        <v>4.6421419003394972E-3</v>
      </c>
      <c r="J81" s="246">
        <f t="shared" si="8"/>
        <v>3.7889385559602483E-3</v>
      </c>
      <c r="K81" s="246">
        <f t="shared" si="8"/>
        <v>2.1149003332894059E-3</v>
      </c>
      <c r="L81" s="246">
        <f t="shared" si="8"/>
        <v>1.4143203787274651E-3</v>
      </c>
      <c r="M81" s="531">
        <f t="shared" ref="M81:M84" si="10">SUM(M14:N14)/SUM(M22:N22)</f>
        <v>1.0255553173859648E-4</v>
      </c>
      <c r="N81" s="249">
        <f t="shared" ref="N81:N83" si="11">M81</f>
        <v>1.0255553173859648E-4</v>
      </c>
    </row>
    <row r="82" spans="1:17" ht="18" customHeight="1" x14ac:dyDescent="0.2">
      <c r="A82" s="239" t="s">
        <v>101</v>
      </c>
      <c r="B82" s="533">
        <f>SUM(B15:C15)/SUM(B23:C23)</f>
        <v>5.5616056197286792</v>
      </c>
      <c r="C82" s="533">
        <f>B82</f>
        <v>5.5616056197286792</v>
      </c>
      <c r="D82" s="240">
        <f t="shared" si="7"/>
        <v>2.8390757031664973</v>
      </c>
      <c r="E82" s="240">
        <f t="shared" si="7"/>
        <v>2.2388898085411233</v>
      </c>
      <c r="F82" s="533">
        <f>SUM(F15:G15)/SUM(F23:G23)</f>
        <v>0.20059753223011387</v>
      </c>
      <c r="G82" s="241">
        <f t="shared" si="9"/>
        <v>0.20059753223011387</v>
      </c>
      <c r="I82" s="248">
        <f t="shared" si="8"/>
        <v>3.7309764423858671E-3</v>
      </c>
      <c r="J82" s="246">
        <f t="shared" si="8"/>
        <v>3.0378213624784947E-3</v>
      </c>
      <c r="K82" s="246">
        <f t="shared" si="8"/>
        <v>1.7997543260227075E-3</v>
      </c>
      <c r="L82" s="246">
        <f t="shared" si="8"/>
        <v>1.035079941893917E-3</v>
      </c>
      <c r="M82" s="531">
        <f t="shared" si="10"/>
        <v>8.3494720195565088E-5</v>
      </c>
      <c r="N82" s="249">
        <f t="shared" si="11"/>
        <v>8.3494720195565088E-5</v>
      </c>
    </row>
    <row r="83" spans="1:17" ht="18" customHeight="1" x14ac:dyDescent="0.2">
      <c r="A83" s="239" t="s">
        <v>102</v>
      </c>
      <c r="B83" s="533">
        <f>SUM(B16:C16)/SUM(B24:C24)</f>
        <v>5.4918788360926465</v>
      </c>
      <c r="C83" s="533">
        <f>B83</f>
        <v>5.4918788360926465</v>
      </c>
      <c r="D83" s="240">
        <f t="shared" si="7"/>
        <v>2.8484819009341935</v>
      </c>
      <c r="E83" s="240">
        <f t="shared" si="7"/>
        <v>2.2294366437121873</v>
      </c>
      <c r="F83" s="533">
        <f>SUM(F16:G16)/SUM(F24:G24)</f>
        <v>0.27590284069381682</v>
      </c>
      <c r="G83" s="241">
        <f t="shared" si="9"/>
        <v>0.27590284069381682</v>
      </c>
      <c r="I83" s="248">
        <f t="shared" si="8"/>
        <v>4.2595539757638084E-3</v>
      </c>
      <c r="J83" s="246">
        <f t="shared" si="8"/>
        <v>3.5103837171930581E-3</v>
      </c>
      <c r="K83" s="246">
        <f t="shared" si="8"/>
        <v>2.0403497534412472E-3</v>
      </c>
      <c r="L83" s="246">
        <f t="shared" si="8"/>
        <v>1.2778831707198487E-3</v>
      </c>
      <c r="M83" s="531">
        <f t="shared" si="10"/>
        <v>9.9855849595237002E-5</v>
      </c>
      <c r="N83" s="249">
        <f t="shared" si="11"/>
        <v>9.9855849595237002E-5</v>
      </c>
      <c r="P83" s="230"/>
      <c r="Q83" s="323"/>
    </row>
    <row r="84" spans="1:17" ht="18" customHeight="1" thickBot="1" x14ac:dyDescent="0.25">
      <c r="A84" s="242" t="s">
        <v>103</v>
      </c>
      <c r="B84" s="498">
        <f t="shared" si="7"/>
        <v>10.314367563078976</v>
      </c>
      <c r="C84" s="498">
        <f t="shared" si="7"/>
        <v>7.8940623519066131</v>
      </c>
      <c r="D84" s="243">
        <f>D33</f>
        <v>3.7972350814549469</v>
      </c>
      <c r="E84" s="243">
        <f>E33</f>
        <v>2.7952903251145313</v>
      </c>
      <c r="F84" s="498">
        <f>SUM(F17:G17)/SUM(F25:G25)</f>
        <v>0.52811997721617487</v>
      </c>
      <c r="G84" s="244">
        <f t="shared" si="9"/>
        <v>0.52811997721617487</v>
      </c>
      <c r="I84" s="250">
        <f t="shared" si="8"/>
        <v>7.0459188439990399E-3</v>
      </c>
      <c r="J84" s="251">
        <f t="shared" si="8"/>
        <v>5.7425392421501719E-3</v>
      </c>
      <c r="K84" s="251">
        <f t="shared" si="8"/>
        <v>3.0629374453556837E-3</v>
      </c>
      <c r="L84" s="251">
        <f t="shared" si="8"/>
        <v>2.4333086562384849E-3</v>
      </c>
      <c r="M84" s="534">
        <f t="shared" si="10"/>
        <v>1.5569599018397165E-4</v>
      </c>
      <c r="N84" s="535">
        <f>M84</f>
        <v>1.5569599018397165E-4</v>
      </c>
      <c r="P84" s="230"/>
      <c r="Q84" s="323"/>
    </row>
    <row r="85" spans="1:17" x14ac:dyDescent="0.2">
      <c r="P85" s="230"/>
      <c r="Q85" s="323"/>
    </row>
    <row r="86" spans="1:17" s="5" customFormat="1" ht="16.5" customHeight="1" x14ac:dyDescent="0.2">
      <c r="A86" s="5" t="s">
        <v>199</v>
      </c>
    </row>
    <row r="87" spans="1:17" ht="5.0999999999999996" customHeight="1" thickBot="1" x14ac:dyDescent="0.25"/>
    <row r="88" spans="1:17" ht="22.5" customHeight="1" x14ac:dyDescent="0.2">
      <c r="A88" s="611" t="s">
        <v>97</v>
      </c>
      <c r="B88" s="173" t="s">
        <v>125</v>
      </c>
      <c r="C88" s="173"/>
      <c r="D88" s="173"/>
      <c r="E88" s="613" t="s">
        <v>124</v>
      </c>
    </row>
    <row r="89" spans="1:17" ht="30" customHeight="1" x14ac:dyDescent="0.2">
      <c r="A89" s="612"/>
      <c r="B89" s="253" t="s">
        <v>95</v>
      </c>
      <c r="C89" s="253" t="s">
        <v>96</v>
      </c>
      <c r="D89" s="253" t="s">
        <v>4</v>
      </c>
      <c r="E89" s="614"/>
    </row>
    <row r="90" spans="1:17" ht="18" customHeight="1" x14ac:dyDescent="0.2">
      <c r="A90" s="236" t="s">
        <v>98</v>
      </c>
      <c r="B90" s="254">
        <f>'I. Datos de entrada'!C115*B79+'I. Datos de entrada'!H115*C79</f>
        <v>493547.07246730325</v>
      </c>
      <c r="C90" s="256">
        <f>SUMPRODUCT(I79:N79,'I. Datos de entrada'!C101:H101)*1000</f>
        <v>117645.71341315123</v>
      </c>
      <c r="D90" s="255">
        <f>SUM(B90:C90)</f>
        <v>611192.78588045447</v>
      </c>
      <c r="E90" s="258">
        <f>B90/D90</f>
        <v>0.80751455820330642</v>
      </c>
    </row>
    <row r="91" spans="1:17" ht="18" customHeight="1" x14ac:dyDescent="0.2">
      <c r="A91" s="239" t="s">
        <v>99</v>
      </c>
      <c r="B91" s="256">
        <f>SUMPRODUCT(B80:G80,'I. Datos de entrada'!C116:H116)</f>
        <v>73150.947948123125</v>
      </c>
      <c r="C91" s="256">
        <f>SUMPRODUCT(I80:N80,'I. Datos de entrada'!C102:H102)*1000</f>
        <v>57686.800390586621</v>
      </c>
      <c r="D91" s="257">
        <f t="shared" ref="D91:D95" si="12">SUM(B91:C91)</f>
        <v>130837.74833870975</v>
      </c>
      <c r="E91" s="259">
        <f t="shared" ref="E91:E95" si="13">B91/D91</f>
        <v>0.5590966588537708</v>
      </c>
      <c r="F91" s="302"/>
      <c r="G91" s="252"/>
    </row>
    <row r="92" spans="1:17" ht="18" customHeight="1" x14ac:dyDescent="0.2">
      <c r="A92" s="239" t="s">
        <v>100</v>
      </c>
      <c r="B92" s="256">
        <f>SUMPRODUCT(B81:G81,'I. Datos de entrada'!C117:H117)</f>
        <v>298320.64065809711</v>
      </c>
      <c r="C92" s="256">
        <f>SUMPRODUCT(I81:N81,'I. Datos de entrada'!C103:H103)*1000</f>
        <v>101416.23548044656</v>
      </c>
      <c r="D92" s="257">
        <f t="shared" si="12"/>
        <v>399736.87613854365</v>
      </c>
      <c r="E92" s="259">
        <f t="shared" si="13"/>
        <v>0.7462925200693844</v>
      </c>
      <c r="F92" s="252"/>
      <c r="G92" s="252"/>
      <c r="I92" s="252"/>
    </row>
    <row r="93" spans="1:17" ht="18" customHeight="1" x14ac:dyDescent="0.2">
      <c r="A93" s="239" t="s">
        <v>101</v>
      </c>
      <c r="B93" s="256">
        <f>SUMPRODUCT(B82:G82,'I. Datos de entrada'!C118:H118)</f>
        <v>72353.391966368479</v>
      </c>
      <c r="C93" s="256">
        <f>SUMPRODUCT(I82:N82,'I. Datos de entrada'!C104:H104)*1000</f>
        <v>25839.409674814517</v>
      </c>
      <c r="D93" s="257">
        <f t="shared" si="12"/>
        <v>98192.801641183003</v>
      </c>
      <c r="E93" s="259">
        <f t="shared" si="13"/>
        <v>0.73685026557000455</v>
      </c>
      <c r="F93" s="252"/>
      <c r="G93" s="252"/>
      <c r="I93" s="252"/>
    </row>
    <row r="94" spans="1:17" ht="18" customHeight="1" x14ac:dyDescent="0.2">
      <c r="A94" s="239" t="s">
        <v>102</v>
      </c>
      <c r="B94" s="256">
        <f>SUMPRODUCT(B83:G83,'I. Datos de entrada'!C119:H119)</f>
        <v>33075.618627427371</v>
      </c>
      <c r="C94" s="256">
        <f>SUMPRODUCT(I83:N83,'I. Datos de entrada'!C105:H105)*1000</f>
        <v>12926.530694294092</v>
      </c>
      <c r="D94" s="257">
        <f t="shared" si="12"/>
        <v>46002.149321721459</v>
      </c>
      <c r="E94" s="259">
        <f t="shared" si="13"/>
        <v>0.71900159264535946</v>
      </c>
      <c r="F94" s="252"/>
      <c r="G94" s="252"/>
      <c r="I94" s="252"/>
    </row>
    <row r="95" spans="1:17" ht="18" customHeight="1" thickBot="1" x14ac:dyDescent="0.25">
      <c r="A95" s="242" t="s">
        <v>103</v>
      </c>
      <c r="B95" s="260">
        <f>SUMPRODUCT(B84:G84,'I. Datos de entrada'!C120:H120)</f>
        <v>89497.105292808425</v>
      </c>
      <c r="C95" s="260">
        <f>SUMPRODUCT(I84:N84,'I. Datos de entrada'!C106:H106)*1000</f>
        <v>37800.236000082943</v>
      </c>
      <c r="D95" s="261">
        <f t="shared" si="12"/>
        <v>127297.34129289136</v>
      </c>
      <c r="E95" s="262">
        <f t="shared" si="13"/>
        <v>0.70305557354013792</v>
      </c>
      <c r="F95" s="252"/>
      <c r="G95" s="252"/>
    </row>
    <row r="96" spans="1:17" ht="7.5" customHeight="1" thickBot="1" x14ac:dyDescent="0.25"/>
    <row r="97" spans="1:5" ht="15.75" customHeight="1" thickBot="1" x14ac:dyDescent="0.25">
      <c r="A97" s="403" t="s">
        <v>1</v>
      </c>
      <c r="B97" s="397">
        <f>SUM(B90:B95)</f>
        <v>1059944.7769601278</v>
      </c>
      <c r="C97" s="397">
        <f>SUM(C90:C95)</f>
        <v>353314.92565337592</v>
      </c>
      <c r="D97" s="398">
        <f>SUM(B97:C97)</f>
        <v>1413259.7026135037</v>
      </c>
      <c r="E97" s="404">
        <f>B97/D97</f>
        <v>0.75</v>
      </c>
    </row>
    <row r="98" spans="1:5" x14ac:dyDescent="0.2">
      <c r="C98" s="230"/>
      <c r="D98" s="79">
        <f>D97-'I. Datos de entrada'!C14</f>
        <v>0</v>
      </c>
    </row>
    <row r="100" spans="1:5" x14ac:dyDescent="0.2">
      <c r="B100" s="303"/>
      <c r="C100" s="302"/>
    </row>
    <row r="101" spans="1:5" x14ac:dyDescent="0.2">
      <c r="B101" s="303"/>
      <c r="C101" s="252"/>
    </row>
    <row r="103" spans="1:5" x14ac:dyDescent="0.2">
      <c r="B103" s="303"/>
    </row>
    <row r="104" spans="1:5" x14ac:dyDescent="0.2">
      <c r="B104" s="303"/>
    </row>
    <row r="105" spans="1:5" x14ac:dyDescent="0.2">
      <c r="B105" s="303"/>
    </row>
    <row r="106" spans="1:5" x14ac:dyDescent="0.2">
      <c r="B106" s="304"/>
    </row>
  </sheetData>
  <mergeCells count="8">
    <mergeCell ref="A77:A78"/>
    <mergeCell ref="A88:A89"/>
    <mergeCell ref="E88:E89"/>
    <mergeCell ref="A11:A12"/>
    <mergeCell ref="A19:A20"/>
    <mergeCell ref="A27:A28"/>
    <mergeCell ref="A37:A38"/>
    <mergeCell ref="A67:A6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D870F-BF47-468C-A62A-15B8335B5C3A}">
  <dimension ref="A1:AB98"/>
  <sheetViews>
    <sheetView showGridLines="0" workbookViewId="0">
      <selection activeCell="B98" sqref="B98"/>
    </sheetView>
  </sheetViews>
  <sheetFormatPr baseColWidth="10" defaultRowHeight="12.75" x14ac:dyDescent="0.2"/>
  <cols>
    <col min="2" max="2" width="14.140625" customWidth="1"/>
    <col min="3" max="3" width="18.5703125" customWidth="1"/>
    <col min="4" max="4" width="14.28515625" customWidth="1"/>
    <col min="5" max="5" width="13.28515625" customWidth="1"/>
    <col min="6" max="6" width="13.7109375" bestFit="1" customWidth="1"/>
    <col min="7" max="7" width="12.7109375" customWidth="1"/>
    <col min="8" max="8" width="2.28515625" customWidth="1"/>
    <col min="9" max="12" width="12.85546875" bestFit="1" customWidth="1"/>
    <col min="13" max="13" width="11.85546875" bestFit="1" customWidth="1"/>
    <col min="14" max="14" width="12.85546875" bestFit="1" customWidth="1"/>
    <col min="15" max="15" width="4.42578125" customWidth="1"/>
  </cols>
  <sheetData>
    <row r="1" spans="1:14" s="1" customFormat="1" x14ac:dyDescent="0.2"/>
    <row r="2" spans="1:14" s="1" customFormat="1" x14ac:dyDescent="0.2"/>
    <row r="3" spans="1:14" s="1" customFormat="1" x14ac:dyDescent="0.2"/>
    <row r="4" spans="1:14" s="1" customFormat="1" x14ac:dyDescent="0.2"/>
    <row r="5" spans="1:14" s="1" customFormat="1" x14ac:dyDescent="0.2"/>
    <row r="6" spans="1:14" s="386" customFormat="1" ht="30" customHeight="1" x14ac:dyDescent="0.2">
      <c r="A6" s="386" t="s">
        <v>192</v>
      </c>
    </row>
    <row r="7" spans="1:14" s="5" customFormat="1" ht="16.5" customHeight="1" x14ac:dyDescent="0.2">
      <c r="A7" s="5" t="s">
        <v>200</v>
      </c>
    </row>
    <row r="8" spans="1:14" ht="5.0999999999999996" customHeight="1" thickBot="1" x14ac:dyDescent="0.25"/>
    <row r="9" spans="1:14" ht="25.5" customHeight="1" thickBot="1" x14ac:dyDescent="0.25">
      <c r="B9" s="188" t="s">
        <v>95</v>
      </c>
      <c r="C9" s="189"/>
      <c r="D9" s="189"/>
      <c r="E9" s="189"/>
      <c r="F9" s="189"/>
      <c r="G9" s="190"/>
      <c r="I9" s="188" t="s">
        <v>96</v>
      </c>
      <c r="J9" s="189"/>
      <c r="K9" s="189"/>
      <c r="L9" s="189"/>
      <c r="M9" s="189"/>
      <c r="N9" s="190"/>
    </row>
    <row r="10" spans="1:14" ht="13.5" thickBot="1" x14ac:dyDescent="0.25"/>
    <row r="11" spans="1:14" ht="24.95" customHeight="1" x14ac:dyDescent="0.2">
      <c r="A11" s="611" t="s">
        <v>53</v>
      </c>
      <c r="B11" s="173" t="s">
        <v>104</v>
      </c>
      <c r="C11" s="173"/>
      <c r="D11" s="173"/>
      <c r="E11" s="173"/>
      <c r="F11" s="173"/>
      <c r="G11" s="174"/>
      <c r="I11" s="191" t="s">
        <v>126</v>
      </c>
      <c r="J11" s="173"/>
      <c r="K11" s="173"/>
      <c r="L11" s="173"/>
      <c r="M11" s="173"/>
      <c r="N11" s="174"/>
    </row>
    <row r="12" spans="1:14" ht="24.95" customHeight="1" x14ac:dyDescent="0.2">
      <c r="A12" s="612"/>
      <c r="B12" s="175" t="s">
        <v>15</v>
      </c>
      <c r="C12" s="175" t="s">
        <v>16</v>
      </c>
      <c r="D12" s="175" t="s">
        <v>17</v>
      </c>
      <c r="E12" s="175" t="s">
        <v>18</v>
      </c>
      <c r="F12" s="175" t="s">
        <v>19</v>
      </c>
      <c r="G12" s="176" t="s">
        <v>20</v>
      </c>
      <c r="I12" s="192" t="s">
        <v>15</v>
      </c>
      <c r="J12" s="175" t="s">
        <v>16</v>
      </c>
      <c r="K12" s="175" t="s">
        <v>17</v>
      </c>
      <c r="L12" s="175" t="s">
        <v>18</v>
      </c>
      <c r="M12" s="175" t="s">
        <v>19</v>
      </c>
      <c r="N12" s="176" t="s">
        <v>20</v>
      </c>
    </row>
    <row r="13" spans="1:14" ht="15" customHeight="1" x14ac:dyDescent="0.2">
      <c r="A13" s="179" t="s">
        <v>10</v>
      </c>
      <c r="B13" s="180">
        <f>'IV. Metodología de asignación'!J65+'IV. Metodología de asignación'!J67+'IV. Metodología de asignación'!J70+'IV. Metodología de asignación'!J74</f>
        <v>1284071.5921614503</v>
      </c>
      <c r="C13" s="180">
        <f>'IV. Metodología de asignación'!K65+'IV. Metodología de asignación'!K67+'IV. Metodología de asignación'!K70+'IV. Metodología de asignación'!K74</f>
        <v>1136105.5638255174</v>
      </c>
      <c r="D13" s="180">
        <f>'IV. Metodología de asignación'!L65+'IV. Metodología de asignación'!L67+'IV. Metodología de asignación'!L70+'IV. Metodología de asignación'!L74</f>
        <v>450530.57916458778</v>
      </c>
      <c r="E13" s="180">
        <f>'IV. Metodología de asignación'!M65+'IV. Metodología de asignación'!M67+'IV. Metodología de asignación'!M70+'IV. Metodología de asignación'!M74</f>
        <v>340000.64732669509</v>
      </c>
      <c r="F13" s="180">
        <f>'IV. Metodología de asignación'!N65+'IV. Metodología de asignación'!N67+'IV. Metodología de asignación'!N70+'IV. Metodología de asignación'!N74</f>
        <v>2843.0634156414135</v>
      </c>
      <c r="G13" s="181">
        <f>'IV. Metodología de asignación'!O65+'IV. Metodología de asignación'!O67+'IV. Metodología de asignación'!O70+'IV. Metodología de asignación'!O74</f>
        <v>305119.41866622149</v>
      </c>
      <c r="I13" s="193">
        <f>'IV. Metodología de asignación'!J85+'IV. Metodología de asignación'!J87+'IV. Metodología de asignación'!J90+'IV. Metodología de asignación'!J94</f>
        <v>173668.56958067039</v>
      </c>
      <c r="J13" s="180">
        <f>'IV. Metodología de asignación'!K85+'IV. Metodología de asignación'!K87+'IV. Metodología de asignación'!K90+'IV. Metodología de asignación'!K94</f>
        <v>165734.01790122231</v>
      </c>
      <c r="K13" s="180">
        <f>'IV. Metodología de asignación'!L85+'IV. Metodología de asignación'!L87+'IV. Metodología de asignación'!L90+'IV. Metodología de asignación'!L94</f>
        <v>73767.408265548118</v>
      </c>
      <c r="L13" s="180">
        <f>'IV. Metodología de asignación'!M85+'IV. Metodología de asignación'!M87+'IV. Metodología de asignación'!M90+'IV. Metodología de asignación'!M94</f>
        <v>57079.697242516871</v>
      </c>
      <c r="M13" s="180">
        <f>'IV. Metodología de asignación'!N85+'IV. Metodología de asignación'!N87+'IV. Metodología de asignación'!N90+'IV. Metodología de asignación'!N94</f>
        <v>575.1421725918226</v>
      </c>
      <c r="N13" s="181">
        <f>'IV. Metodología de asignación'!O85+'IV. Metodología de asignación'!O87+'IV. Metodología de asignación'!O90+'IV. Metodología de asignación'!O94</f>
        <v>11509.133739430083</v>
      </c>
    </row>
    <row r="14" spans="1:14" ht="15" customHeight="1" x14ac:dyDescent="0.2">
      <c r="A14" s="182" t="s">
        <v>11</v>
      </c>
      <c r="B14" s="183">
        <f>'IV. Metodología de asignación'!J66+'IV. Metodología de asignación'!J69+'IV. Metodología de asignación'!J73</f>
        <v>227487.92018703345</v>
      </c>
      <c r="C14" s="183">
        <f>'IV. Metodología de asignación'!K66+'IV. Metodología de asignación'!K69+'IV. Metodología de asignación'!K73</f>
        <v>293024.97543885431</v>
      </c>
      <c r="D14" s="183">
        <f>'IV. Metodología de asignación'!L66+'IV. Metodología de asignación'!L69+'IV. Metodología de asignación'!L73</f>
        <v>147454.33011639709</v>
      </c>
      <c r="E14" s="183">
        <f>'IV. Metodología de asignación'!M66+'IV. Metodología de asignación'!M69+'IV. Metodología de asignación'!M73</f>
        <v>111216.61478968791</v>
      </c>
      <c r="F14" s="183">
        <f>'IV. Metodología de asignación'!N66+'IV. Metodología de asignación'!N69+'IV. Metodología de asignación'!N73</f>
        <v>1173.443731865025</v>
      </c>
      <c r="G14" s="184">
        <f>'IV. Metodología de asignación'!O66+'IV. Metodología de asignación'!O69+'IV. Metodología de asignación'!O73</f>
        <v>14274.390065874515</v>
      </c>
      <c r="I14" s="194">
        <f>'IV. Metodología de asignación'!J86+'IV. Metodología de asignación'!J89+'IV. Metodología de asignación'!J93</f>
        <v>94100.380746743511</v>
      </c>
      <c r="J14" s="183">
        <f>'IV. Metodología de asignación'!K86+'IV. Metodología de asignación'!K89+'IV. Metodología de asignación'!K93</f>
        <v>92125.707605151547</v>
      </c>
      <c r="K14" s="183">
        <f>'IV. Metodología de asignación'!L86+'IV. Metodología de asignación'!L89+'IV. Metodología de asignación'!L93</f>
        <v>48452.537399320827</v>
      </c>
      <c r="L14" s="183">
        <f>'IV. Metodología de asignación'!M86+'IV. Metodología de asignación'!M89+'IV. Metodología de asignación'!M93</f>
        <v>37040.376978974426</v>
      </c>
      <c r="M14" s="183">
        <f>'IV. Metodología de asignación'!N86+'IV. Metodología de asignación'!N89+'IV. Metodología de asignación'!N93</f>
        <v>409.90319579137554</v>
      </c>
      <c r="N14" s="184">
        <f>'IV. Metodología de asignación'!O86+'IV. Metodología de asignación'!O89+'IV. Metodología de asignación'!O93</f>
        <v>7047.107437045328</v>
      </c>
    </row>
    <row r="15" spans="1:14" ht="15" customHeight="1" x14ac:dyDescent="0.2">
      <c r="A15" s="182" t="s">
        <v>12</v>
      </c>
      <c r="B15" s="183">
        <f>'IV. Metodología de asignación'!J68+'IV. Metodología de asignación'!J72</f>
        <v>33113.775126333931</v>
      </c>
      <c r="C15" s="183">
        <f>'IV. Metodología de asignación'!K68+'IV. Metodología de asignación'!K72</f>
        <v>35739.270145867064</v>
      </c>
      <c r="D15" s="183">
        <f>'IV. Metodología de asignación'!L68+'IV. Metodología de asignación'!L72</f>
        <v>16489.926300604006</v>
      </c>
      <c r="E15" s="183">
        <f>'IV. Metodología de asignación'!M68+'IV. Metodología de asignación'!M72</f>
        <v>17250.163874366972</v>
      </c>
      <c r="F15" s="183">
        <f>'IV. Metodología de asignación'!N68+'IV. Metodología de asignación'!N72</f>
        <v>216.99962245304022</v>
      </c>
      <c r="G15" s="184">
        <f>'IV. Metodología de asignación'!O68+'IV. Metodología de asignación'!O72</f>
        <v>2129.5211396120521</v>
      </c>
      <c r="I15" s="194">
        <f>'IV. Metodología de asignación'!J88+'IV. Metodología de asignación'!J92</f>
        <v>12334.429915991976</v>
      </c>
      <c r="J15" s="183">
        <f>'IV. Metodología de asignación'!K88+'IV. Metodología de asignación'!K92</f>
        <v>12897.743812479002</v>
      </c>
      <c r="K15" s="183">
        <f>'IV. Metodología de asignación'!L88+'IV. Metodología de asignación'!L92</f>
        <v>6167.379450053415</v>
      </c>
      <c r="L15" s="183">
        <f>'IV. Metodología de asignación'!M88+'IV. Metodología de asignación'!M92</f>
        <v>5565.5056589675351</v>
      </c>
      <c r="M15" s="183">
        <f>'IV. Metodología de asignación'!N88+'IV. Metodología de asignación'!N92</f>
        <v>84.851057027209421</v>
      </c>
      <c r="N15" s="184">
        <f>'IV. Metodología de asignación'!O88+'IV. Metodología de asignación'!O92</f>
        <v>1088.1091151878281</v>
      </c>
    </row>
    <row r="16" spans="1:14" ht="15" customHeight="1" x14ac:dyDescent="0.2">
      <c r="A16" s="182" t="s">
        <v>13</v>
      </c>
      <c r="B16" s="183">
        <f>'IV. Metodología de asignación'!J71</f>
        <v>8102.1227117367525</v>
      </c>
      <c r="C16" s="183">
        <f>'IV. Metodología de asignación'!K71</f>
        <v>9569.869025405771</v>
      </c>
      <c r="D16" s="183">
        <f>'IV. Metodología de asignación'!L71</f>
        <v>5444.8762922454634</v>
      </c>
      <c r="E16" s="183">
        <f>'IV. Metodología de asignación'!M71</f>
        <v>2069.3109853049991</v>
      </c>
      <c r="F16" s="183">
        <f>'IV. Metodología de asignación'!N71</f>
        <v>235.34136616345481</v>
      </c>
      <c r="G16" s="184">
        <f>'IV. Metodología de asignación'!O71</f>
        <v>1511.9530811342438</v>
      </c>
      <c r="I16" s="194">
        <f>'IV. Metodología de asignación'!J91</f>
        <v>3317.0366489360431</v>
      </c>
      <c r="J16" s="183">
        <f>'IV. Metodología de asignación'!K91</f>
        <v>3660.9807028352952</v>
      </c>
      <c r="K16" s="183">
        <f>'IV. Metodología de asignación'!L91</f>
        <v>2096.5548656284113</v>
      </c>
      <c r="L16" s="183">
        <f>'IV. Metodología de asignación'!M91</f>
        <v>797.83158643971001</v>
      </c>
      <c r="M16" s="183">
        <f>'IV. Metodología de asignación'!N91</f>
        <v>84.230527552476701</v>
      </c>
      <c r="N16" s="184">
        <f>'IV. Metodología de asignación'!O91</f>
        <v>806.9133323131141</v>
      </c>
    </row>
    <row r="17" spans="1:28" ht="15" customHeight="1" thickBot="1" x14ac:dyDescent="0.25">
      <c r="A17" s="265" t="s">
        <v>14</v>
      </c>
      <c r="B17" s="263"/>
      <c r="C17" s="263"/>
      <c r="D17" s="263"/>
      <c r="E17" s="263"/>
      <c r="F17" s="263"/>
      <c r="G17" s="264"/>
      <c r="I17" s="266"/>
      <c r="J17" s="263"/>
      <c r="K17" s="263"/>
      <c r="L17" s="263"/>
      <c r="M17" s="263"/>
      <c r="N17" s="264"/>
    </row>
    <row r="18" spans="1:28" ht="13.5" thickBot="1" x14ac:dyDescent="0.25">
      <c r="G18" s="230"/>
      <c r="N18" s="230">
        <f>SUM(I13:N16)-SUM('IV. Metodología de asignación'!E23:H23)</f>
        <v>0</v>
      </c>
    </row>
    <row r="19" spans="1:28" ht="24" customHeight="1" x14ac:dyDescent="0.2">
      <c r="A19" s="611" t="s">
        <v>53</v>
      </c>
      <c r="B19" s="173" t="s">
        <v>105</v>
      </c>
      <c r="C19" s="173"/>
      <c r="D19" s="173"/>
      <c r="E19" s="173"/>
      <c r="F19" s="173"/>
      <c r="G19" s="174"/>
      <c r="I19" s="191" t="s">
        <v>112</v>
      </c>
      <c r="J19" s="173"/>
      <c r="K19" s="173"/>
      <c r="L19" s="173"/>
      <c r="M19" s="173"/>
      <c r="N19" s="174"/>
    </row>
    <row r="20" spans="1:28" ht="24" customHeight="1" x14ac:dyDescent="0.2">
      <c r="A20" s="612"/>
      <c r="B20" s="175" t="s">
        <v>15</v>
      </c>
      <c r="C20" s="175" t="s">
        <v>16</v>
      </c>
      <c r="D20" s="175" t="s">
        <v>17</v>
      </c>
      <c r="E20" s="175" t="s">
        <v>18</v>
      </c>
      <c r="F20" s="175" t="s">
        <v>19</v>
      </c>
      <c r="G20" s="176" t="s">
        <v>20</v>
      </c>
      <c r="I20" s="192" t="s">
        <v>15</v>
      </c>
      <c r="J20" s="175" t="s">
        <v>16</v>
      </c>
      <c r="K20" s="175" t="s">
        <v>17</v>
      </c>
      <c r="L20" s="175" t="s">
        <v>18</v>
      </c>
      <c r="M20" s="175" t="s">
        <v>19</v>
      </c>
      <c r="N20" s="176" t="s">
        <v>20</v>
      </c>
    </row>
    <row r="21" spans="1:28" ht="15" customHeight="1" x14ac:dyDescent="0.2">
      <c r="A21" s="179" t="s">
        <v>10</v>
      </c>
      <c r="B21" s="180">
        <f>'I. Datos de entrada'!C115+'I. Datos de entrada'!C116</f>
        <v>142836.79122091288</v>
      </c>
      <c r="C21" s="180">
        <f>'I. Datos de entrada'!D115+'I. Datos de entrada'!D116</f>
        <v>144154.31989884569</v>
      </c>
      <c r="D21" s="180">
        <f>'I. Datos de entrada'!E115+'I. Datos de entrada'!E116</f>
        <v>144173.19473148612</v>
      </c>
      <c r="E21" s="180">
        <f>'I. Datos de entrada'!F115+'I. Datos de entrada'!F116</f>
        <v>144150.64226183482</v>
      </c>
      <c r="F21" s="180">
        <f>'I. Datos de entrada'!G115+'I. Datos de entrada'!G116</f>
        <v>144153.14033525364</v>
      </c>
      <c r="G21" s="181">
        <f>'I. Datos de entrada'!H115+'I. Datos de entrada'!H116</f>
        <v>150884.86134849314</v>
      </c>
      <c r="I21" s="193">
        <f>('I. Datos de entrada'!C101+'I. Datos de entrada'!C102)*1000</f>
        <v>13352953.905236339</v>
      </c>
      <c r="J21" s="180">
        <f>('I. Datos de entrada'!D101+'I. Datos de entrada'!D102)*1000</f>
        <v>15499863.572660718</v>
      </c>
      <c r="K21" s="180">
        <f>('I. Datos de entrada'!E101+'I. Datos de entrada'!E102)*1000</f>
        <v>12537055.459432121</v>
      </c>
      <c r="L21" s="180">
        <f>('I. Datos de entrada'!F101+'I. Datos de entrada'!F102)*1000</f>
        <v>14399039.656119326</v>
      </c>
      <c r="M21" s="180">
        <f>('I. Datos de entrada'!G101+'I. Datos de entrada'!G102)*1000</f>
        <v>5935020.6608069735</v>
      </c>
      <c r="N21" s="181">
        <f>('I. Datos de entrada'!H101+'I. Datos de entrada'!H102)*1000</f>
        <v>49825478.775382869</v>
      </c>
    </row>
    <row r="22" spans="1:28" ht="15" customHeight="1" x14ac:dyDescent="0.2">
      <c r="A22" s="182" t="s">
        <v>11</v>
      </c>
      <c r="B22" s="183">
        <f>'I. Datos de entrada'!C117</f>
        <v>19089.702881488105</v>
      </c>
      <c r="C22" s="183">
        <f>'I. Datos de entrada'!D117</f>
        <v>19951.832587354522</v>
      </c>
      <c r="D22" s="183">
        <f>'I. Datos de entrada'!E117</f>
        <v>20163.096713477771</v>
      </c>
      <c r="E22" s="183">
        <f>'I. Datos de entrada'!F117</f>
        <v>20205.001343791017</v>
      </c>
      <c r="F22" s="183">
        <f>'I. Datos de entrada'!G117</f>
        <v>20544.744513846887</v>
      </c>
      <c r="G22" s="184">
        <f>'I. Datos de entrada'!H117</f>
        <v>26038.950065725239</v>
      </c>
      <c r="I22" s="194">
        <f>'I. Datos de entrada'!C103*1000</f>
        <v>7396910.433243664</v>
      </c>
      <c r="J22" s="183">
        <f>'I. Datos de entrada'!D103*1000</f>
        <v>8809422.437853219</v>
      </c>
      <c r="K22" s="183">
        <f>'I. Datos de entrada'!E103*1000</f>
        <v>8062648.7019551285</v>
      </c>
      <c r="L22" s="183">
        <f>'I. Datos de entrada'!F103*1000</f>
        <v>9228398.2395455018</v>
      </c>
      <c r="M22" s="183">
        <f>'I. Datos de entrada'!G103*1000</f>
        <v>3893275.3913115822</v>
      </c>
      <c r="N22" s="184">
        <f>'I. Datos de entrada'!H103*1000</f>
        <v>31178037.814005971</v>
      </c>
    </row>
    <row r="23" spans="1:28" ht="15" customHeight="1" x14ac:dyDescent="0.2">
      <c r="A23" s="182" t="s">
        <v>12</v>
      </c>
      <c r="B23" s="183">
        <f>'I. Datos de entrada'!C118</f>
        <v>4197.3913423143795</v>
      </c>
      <c r="C23" s="183">
        <f>'I. Datos de entrada'!D118</f>
        <v>4375.7132519982088</v>
      </c>
      <c r="D23" s="183">
        <f>'I. Datos de entrada'!E118</f>
        <v>4473.5746519703189</v>
      </c>
      <c r="E23" s="183">
        <f>'I. Datos de entrada'!F118</f>
        <v>4382.3692561669286</v>
      </c>
      <c r="F23" s="183">
        <f>'I. Datos de entrada'!G118</f>
        <v>4592.3780592039411</v>
      </c>
      <c r="G23" s="184">
        <f>'I. Datos de entrada'!H118</f>
        <v>6178.9723482010795</v>
      </c>
      <c r="I23" s="194">
        <f>'I. Datos de entrada'!C104*1000</f>
        <v>2268514.7568242424</v>
      </c>
      <c r="J23" s="183">
        <f>'I. Datos de entrada'!D104*1000</f>
        <v>2871629.5145204309</v>
      </c>
      <c r="K23" s="183">
        <f>'I. Datos de entrada'!E104*1000</f>
        <v>2539953.0479179551</v>
      </c>
      <c r="L23" s="183">
        <f>'I. Datos de entrada'!F104*1000</f>
        <v>2900573.7498858585</v>
      </c>
      <c r="M23" s="183">
        <f>'I. Datos de entrada'!G104*1000</f>
        <v>1254844.8628044473</v>
      </c>
      <c r="N23" s="184">
        <f>'I. Datos de entrada'!H104*1000</f>
        <v>11662377.647346022</v>
      </c>
    </row>
    <row r="24" spans="1:28" ht="15" customHeight="1" x14ac:dyDescent="0.2">
      <c r="A24" s="182" t="s">
        <v>13</v>
      </c>
      <c r="B24" s="183">
        <f>'I. Datos de entrada'!C119</f>
        <v>1913.1503222777762</v>
      </c>
      <c r="C24" s="183">
        <f>'I. Datos de entrada'!D119</f>
        <v>1988.6645279309587</v>
      </c>
      <c r="D24" s="183">
        <f>'I. Datos de entrada'!E119</f>
        <v>2020.6055714990125</v>
      </c>
      <c r="E24" s="183">
        <f>'I. Datos de entrada'!F119</f>
        <v>2045.7377792187008</v>
      </c>
      <c r="F24" s="183">
        <f>'I. Datos de entrada'!G119</f>
        <v>2131.8837974023127</v>
      </c>
      <c r="G24" s="184">
        <f>'I. Datos de entrada'!H119</f>
        <v>2691.6368960022401</v>
      </c>
      <c r="I24" s="194">
        <f>'I. Datos de entrada'!C105*1000</f>
        <v>943831.52038094413</v>
      </c>
      <c r="J24" s="183">
        <f>'I. Datos de entrada'!D105*1000</f>
        <v>1218374.3919692929</v>
      </c>
      <c r="K24" s="183">
        <f>'I. Datos de entrada'!E105*1000</f>
        <v>1117378.9321985433</v>
      </c>
      <c r="L24" s="183">
        <f>'I. Datos de entrada'!F105*1000</f>
        <v>1324283.9820812158</v>
      </c>
      <c r="M24" s="183">
        <f>'I. Datos de entrada'!G105*1000</f>
        <v>590946.68677154812</v>
      </c>
      <c r="N24" s="184">
        <f>'I. Datos de entrada'!H105*1000</f>
        <v>5989976.9354976024</v>
      </c>
    </row>
    <row r="25" spans="1:28" ht="15" customHeight="1" thickBot="1" x14ac:dyDescent="0.25">
      <c r="A25" s="265" t="s">
        <v>14</v>
      </c>
      <c r="B25" s="263"/>
      <c r="C25" s="263"/>
      <c r="D25" s="263"/>
      <c r="E25" s="263"/>
      <c r="F25" s="263"/>
      <c r="G25" s="264"/>
      <c r="I25" s="266"/>
      <c r="J25" s="263"/>
      <c r="K25" s="263"/>
      <c r="L25" s="263"/>
      <c r="M25" s="263"/>
      <c r="N25" s="264"/>
    </row>
    <row r="26" spans="1:28" ht="13.5" thickBot="1" x14ac:dyDescent="0.25">
      <c r="A26" s="177"/>
      <c r="B26" s="305"/>
      <c r="C26" s="305"/>
      <c r="D26" s="305"/>
      <c r="E26" s="305"/>
      <c r="F26" s="305"/>
      <c r="G26" s="305"/>
      <c r="I26" s="178"/>
      <c r="J26" s="178"/>
      <c r="K26" s="178"/>
      <c r="L26" s="178"/>
      <c r="M26" s="178"/>
      <c r="N26" s="178"/>
    </row>
    <row r="27" spans="1:28" ht="24" customHeight="1" x14ac:dyDescent="0.2">
      <c r="A27" s="611" t="s">
        <v>53</v>
      </c>
      <c r="B27" s="173" t="s">
        <v>106</v>
      </c>
      <c r="C27" s="173"/>
      <c r="D27" s="173"/>
      <c r="E27" s="173"/>
      <c r="F27" s="173"/>
      <c r="G27" s="174"/>
      <c r="I27" s="191" t="s">
        <v>111</v>
      </c>
      <c r="J27" s="173"/>
      <c r="K27" s="173"/>
      <c r="L27" s="173"/>
      <c r="M27" s="173"/>
      <c r="N27" s="174"/>
    </row>
    <row r="28" spans="1:28" ht="24" customHeight="1" x14ac:dyDescent="0.2">
      <c r="A28" s="612"/>
      <c r="B28" s="175" t="s">
        <v>15</v>
      </c>
      <c r="C28" s="175" t="s">
        <v>16</v>
      </c>
      <c r="D28" s="175" t="s">
        <v>17</v>
      </c>
      <c r="E28" s="175" t="s">
        <v>18</v>
      </c>
      <c r="F28" s="175" t="s">
        <v>19</v>
      </c>
      <c r="G28" s="176" t="s">
        <v>20</v>
      </c>
      <c r="I28" s="192" t="s">
        <v>15</v>
      </c>
      <c r="J28" s="175" t="s">
        <v>16</v>
      </c>
      <c r="K28" s="175" t="s">
        <v>17</v>
      </c>
      <c r="L28" s="175" t="s">
        <v>18</v>
      </c>
      <c r="M28" s="175" t="s">
        <v>19</v>
      </c>
      <c r="N28" s="176" t="s">
        <v>20</v>
      </c>
    </row>
    <row r="29" spans="1:28" ht="15" customHeight="1" x14ac:dyDescent="0.2">
      <c r="A29" s="179" t="s">
        <v>10</v>
      </c>
      <c r="B29" s="215">
        <f t="shared" ref="B29:G32" si="0">B13/B21</f>
        <v>8.9897818425190721</v>
      </c>
      <c r="C29" s="215">
        <f t="shared" si="0"/>
        <v>7.8811759829516896</v>
      </c>
      <c r="D29" s="215">
        <f t="shared" si="0"/>
        <v>3.1249261001927149</v>
      </c>
      <c r="E29" s="215">
        <f t="shared" si="0"/>
        <v>2.3586481613388783</v>
      </c>
      <c r="F29" s="215">
        <f t="shared" si="0"/>
        <v>1.9722521542224931E-2</v>
      </c>
      <c r="G29" s="216">
        <f t="shared" si="0"/>
        <v>2.0222003449471218</v>
      </c>
      <c r="I29" s="221">
        <f t="shared" ref="I29:N32" si="1">I13/I21</f>
        <v>1.3006003826057285E-2</v>
      </c>
      <c r="J29" s="222">
        <f t="shared" si="1"/>
        <v>1.0692611397790019E-2</v>
      </c>
      <c r="K29" s="222">
        <f t="shared" si="1"/>
        <v>5.883950063413813E-3</v>
      </c>
      <c r="L29" s="222">
        <f t="shared" si="1"/>
        <v>3.9641322342118179E-3</v>
      </c>
      <c r="M29" s="222">
        <f t="shared" si="1"/>
        <v>9.6906515657120163E-5</v>
      </c>
      <c r="N29" s="223">
        <f t="shared" si="1"/>
        <v>2.3098892418704398E-4</v>
      </c>
      <c r="P29" s="309"/>
      <c r="Q29" s="309"/>
      <c r="R29" s="309"/>
      <c r="S29" s="309"/>
      <c r="T29" s="309"/>
      <c r="U29" s="309"/>
      <c r="W29" s="309"/>
      <c r="X29" s="309"/>
      <c r="Y29" s="309"/>
      <c r="Z29" s="309"/>
      <c r="AA29" s="309"/>
      <c r="AB29" s="309"/>
    </row>
    <row r="30" spans="1:28" ht="15" customHeight="1" x14ac:dyDescent="0.2">
      <c r="A30" s="182" t="s">
        <v>11</v>
      </c>
      <c r="B30" s="217">
        <f t="shared" si="0"/>
        <v>11.916786845731149</v>
      </c>
      <c r="C30" s="217">
        <f t="shared" si="0"/>
        <v>14.686619595263327</v>
      </c>
      <c r="D30" s="217">
        <f t="shared" si="0"/>
        <v>7.3130795438695229</v>
      </c>
      <c r="E30" s="217">
        <f t="shared" si="0"/>
        <v>5.5044101654496895</v>
      </c>
      <c r="F30" s="217">
        <f t="shared" si="0"/>
        <v>5.7116491814932988E-2</v>
      </c>
      <c r="G30" s="218">
        <f t="shared" si="0"/>
        <v>0.5481937647195585</v>
      </c>
      <c r="I30" s="224">
        <f t="shared" si="1"/>
        <v>1.2721579042492067E-2</v>
      </c>
      <c r="J30" s="225">
        <f t="shared" si="1"/>
        <v>1.0457633091733287E-2</v>
      </c>
      <c r="K30" s="225">
        <f t="shared" si="1"/>
        <v>6.0095062045269904E-3</v>
      </c>
      <c r="L30" s="225">
        <f t="shared" si="1"/>
        <v>4.0137384644118547E-3</v>
      </c>
      <c r="M30" s="225">
        <f t="shared" si="1"/>
        <v>1.0528492197241812E-4</v>
      </c>
      <c r="N30" s="226">
        <f t="shared" si="1"/>
        <v>2.2602793283801802E-4</v>
      </c>
      <c r="P30" s="309"/>
      <c r="Q30" s="309"/>
      <c r="R30" s="309"/>
      <c r="S30" s="309"/>
      <c r="T30" s="309"/>
      <c r="U30" s="309"/>
      <c r="W30" s="309"/>
      <c r="X30" s="309"/>
      <c r="Y30" s="309"/>
      <c r="Z30" s="309"/>
      <c r="AA30" s="309"/>
      <c r="AB30" s="309"/>
    </row>
    <row r="31" spans="1:28" ht="15" customHeight="1" x14ac:dyDescent="0.2">
      <c r="A31" s="182" t="s">
        <v>12</v>
      </c>
      <c r="B31" s="217">
        <f t="shared" si="0"/>
        <v>7.8891321837233042</v>
      </c>
      <c r="C31" s="217">
        <f t="shared" si="0"/>
        <v>8.1676444702006936</v>
      </c>
      <c r="D31" s="217">
        <f t="shared" si="0"/>
        <v>3.6860737963412022</v>
      </c>
      <c r="E31" s="217">
        <f t="shared" si="0"/>
        <v>3.9362643506346049</v>
      </c>
      <c r="F31" s="217">
        <f t="shared" si="0"/>
        <v>4.7252125076709318E-2</v>
      </c>
      <c r="G31" s="218">
        <f t="shared" si="0"/>
        <v>0.34464001772593011</v>
      </c>
      <c r="I31" s="224">
        <f t="shared" si="1"/>
        <v>5.4372271015152183E-3</v>
      </c>
      <c r="J31" s="225">
        <f t="shared" si="1"/>
        <v>4.4914372648913788E-3</v>
      </c>
      <c r="K31" s="225">
        <f t="shared" si="1"/>
        <v>2.4281470301622016E-3</v>
      </c>
      <c r="L31" s="225">
        <f t="shared" si="1"/>
        <v>1.9187602656841754E-3</v>
      </c>
      <c r="M31" s="225">
        <f t="shared" si="1"/>
        <v>6.761876271906327E-5</v>
      </c>
      <c r="N31" s="226">
        <f t="shared" si="1"/>
        <v>9.3300795780305263E-5</v>
      </c>
      <c r="P31" s="309"/>
      <c r="Q31" s="309"/>
      <c r="R31" s="309"/>
      <c r="S31" s="309"/>
      <c r="T31" s="309"/>
      <c r="U31" s="309"/>
      <c r="W31" s="309"/>
      <c r="X31" s="309"/>
      <c r="Y31" s="309"/>
      <c r="Z31" s="309"/>
      <c r="AA31" s="309"/>
      <c r="AB31" s="309"/>
    </row>
    <row r="32" spans="1:28" ht="15" customHeight="1" x14ac:dyDescent="0.2">
      <c r="A32" s="182" t="s">
        <v>13</v>
      </c>
      <c r="B32" s="217">
        <f t="shared" si="0"/>
        <v>4.2349639844768978</v>
      </c>
      <c r="C32" s="217">
        <f t="shared" si="0"/>
        <v>4.812208842163253</v>
      </c>
      <c r="D32" s="217">
        <f t="shared" si="0"/>
        <v>2.6946754819675722</v>
      </c>
      <c r="E32" s="217">
        <f t="shared" si="0"/>
        <v>1.0115230829316264</v>
      </c>
      <c r="F32" s="217">
        <f t="shared" si="0"/>
        <v>0.11039127294377715</v>
      </c>
      <c r="G32" s="218">
        <f t="shared" si="0"/>
        <v>0.56172252779707232</v>
      </c>
      <c r="I32" s="224">
        <f t="shared" si="1"/>
        <v>3.5144372457461886E-3</v>
      </c>
      <c r="J32" s="225">
        <f t="shared" si="1"/>
        <v>3.0048076576182376E-3</v>
      </c>
      <c r="K32" s="225">
        <f t="shared" si="1"/>
        <v>1.8763150129412691E-3</v>
      </c>
      <c r="L32" s="225">
        <f t="shared" si="1"/>
        <v>6.0246261167174679E-4</v>
      </c>
      <c r="M32" s="225">
        <f t="shared" si="1"/>
        <v>1.4253490109682106E-4</v>
      </c>
      <c r="N32" s="226">
        <f t="shared" si="1"/>
        <v>1.3471059087576966E-4</v>
      </c>
      <c r="P32" s="309"/>
      <c r="Q32" s="309"/>
      <c r="R32" s="309"/>
      <c r="S32" s="309"/>
      <c r="T32" s="309"/>
      <c r="U32" s="309"/>
      <c r="W32" s="309"/>
      <c r="X32" s="309"/>
      <c r="Y32" s="309"/>
      <c r="Z32" s="309"/>
      <c r="AA32" s="309"/>
      <c r="AB32" s="309"/>
    </row>
    <row r="33" spans="1:28" ht="15" customHeight="1" thickBot="1" x14ac:dyDescent="0.25">
      <c r="A33" s="265" t="s">
        <v>14</v>
      </c>
      <c r="B33" s="270"/>
      <c r="C33" s="270"/>
      <c r="D33" s="270"/>
      <c r="E33" s="270"/>
      <c r="F33" s="270"/>
      <c r="G33" s="271"/>
      <c r="I33" s="267"/>
      <c r="J33" s="268"/>
      <c r="K33" s="268"/>
      <c r="L33" s="268"/>
      <c r="M33" s="268"/>
      <c r="N33" s="269"/>
      <c r="P33" s="309"/>
      <c r="Q33" s="309"/>
      <c r="R33" s="309"/>
      <c r="S33" s="309"/>
      <c r="T33" s="309"/>
      <c r="U33" s="309"/>
      <c r="W33" s="309"/>
      <c r="X33" s="309"/>
      <c r="Y33" s="309"/>
      <c r="Z33" s="309"/>
      <c r="AA33" s="309"/>
      <c r="AB33" s="309"/>
    </row>
    <row r="35" spans="1:28" s="5" customFormat="1" ht="16.5" customHeight="1" x14ac:dyDescent="0.2">
      <c r="A35" s="5" t="s">
        <v>113</v>
      </c>
    </row>
    <row r="36" spans="1:28" ht="5.0999999999999996" customHeight="1" thickBot="1" x14ac:dyDescent="0.25">
      <c r="A36" s="203"/>
      <c r="B36" s="205"/>
      <c r="C36" s="40"/>
    </row>
    <row r="37" spans="1:28" ht="18" customHeight="1" x14ac:dyDescent="0.2">
      <c r="A37" s="611" t="s">
        <v>53</v>
      </c>
      <c r="B37" s="173" t="s">
        <v>95</v>
      </c>
      <c r="C37" s="173"/>
      <c r="D37" s="173"/>
      <c r="E37" s="173"/>
      <c r="F37" s="173"/>
      <c r="G37" s="174"/>
      <c r="I37" s="191" t="s">
        <v>96</v>
      </c>
      <c r="J37" s="173"/>
      <c r="K37" s="173"/>
      <c r="L37" s="173"/>
      <c r="M37" s="173"/>
      <c r="N37" s="174"/>
    </row>
    <row r="38" spans="1:28" ht="18" customHeight="1" x14ac:dyDescent="0.2">
      <c r="A38" s="612"/>
      <c r="B38" s="175" t="s">
        <v>15</v>
      </c>
      <c r="C38" s="175" t="s">
        <v>16</v>
      </c>
      <c r="D38" s="175" t="s">
        <v>17</v>
      </c>
      <c r="E38" s="175" t="s">
        <v>18</v>
      </c>
      <c r="F38" s="175" t="s">
        <v>19</v>
      </c>
      <c r="G38" s="176" t="s">
        <v>20</v>
      </c>
      <c r="I38" s="192" t="s">
        <v>15</v>
      </c>
      <c r="J38" s="175" t="s">
        <v>16</v>
      </c>
      <c r="K38" s="175" t="s">
        <v>17</v>
      </c>
      <c r="L38" s="175" t="s">
        <v>18</v>
      </c>
      <c r="M38" s="175" t="s">
        <v>19</v>
      </c>
      <c r="N38" s="176" t="s">
        <v>20</v>
      </c>
    </row>
    <row r="39" spans="1:28" ht="15" customHeight="1" x14ac:dyDescent="0.2">
      <c r="A39" s="179" t="s">
        <v>10</v>
      </c>
      <c r="B39" s="206">
        <f t="shared" ref="B39:G42" si="2">B29/$G29</f>
        <v>4.4455446093567668</v>
      </c>
      <c r="C39" s="206">
        <f t="shared" si="2"/>
        <v>3.8973269897042635</v>
      </c>
      <c r="D39" s="206">
        <f t="shared" si="2"/>
        <v>1.545309844299541</v>
      </c>
      <c r="E39" s="206">
        <f t="shared" si="2"/>
        <v>1.1663770937594982</v>
      </c>
      <c r="F39" s="206">
        <f t="shared" si="2"/>
        <v>9.7530007803161827E-3</v>
      </c>
      <c r="G39" s="209">
        <f t="shared" si="2"/>
        <v>1</v>
      </c>
      <c r="I39" s="208">
        <f t="shared" ref="I39:N42" si="3">I29/$N29</f>
        <v>56.305746571318863</v>
      </c>
      <c r="J39" s="206">
        <f t="shared" si="3"/>
        <v>46.290580535072081</v>
      </c>
      <c r="K39" s="206">
        <f t="shared" si="3"/>
        <v>25.472866649871346</v>
      </c>
      <c r="L39" s="206">
        <f t="shared" si="3"/>
        <v>17.161568452528268</v>
      </c>
      <c r="M39" s="206">
        <f t="shared" si="3"/>
        <v>0.41952884103936439</v>
      </c>
      <c r="N39" s="209">
        <f t="shared" si="3"/>
        <v>1</v>
      </c>
    </row>
    <row r="40" spans="1:28" ht="15" customHeight="1" x14ac:dyDescent="0.2">
      <c r="A40" s="182" t="s">
        <v>11</v>
      </c>
      <c r="B40" s="207">
        <f t="shared" si="2"/>
        <v>21.738275063795122</v>
      </c>
      <c r="C40" s="207">
        <f t="shared" si="2"/>
        <v>26.790927844238826</v>
      </c>
      <c r="D40" s="207">
        <f t="shared" si="2"/>
        <v>13.34031872400209</v>
      </c>
      <c r="E40" s="207">
        <f t="shared" si="2"/>
        <v>10.040993750203636</v>
      </c>
      <c r="F40" s="207">
        <f t="shared" si="2"/>
        <v>0.10419033467874682</v>
      </c>
      <c r="G40" s="211">
        <f t="shared" si="2"/>
        <v>1</v>
      </c>
      <c r="I40" s="210">
        <f t="shared" si="3"/>
        <v>56.283216338614814</v>
      </c>
      <c r="J40" s="207">
        <f t="shared" si="3"/>
        <v>46.266994350772151</v>
      </c>
      <c r="K40" s="207">
        <f t="shared" si="3"/>
        <v>26.587449299169929</v>
      </c>
      <c r="L40" s="207">
        <f t="shared" si="3"/>
        <v>17.757709916713186</v>
      </c>
      <c r="M40" s="207">
        <f t="shared" si="3"/>
        <v>0.46580491468667334</v>
      </c>
      <c r="N40" s="211">
        <f t="shared" si="3"/>
        <v>1</v>
      </c>
    </row>
    <row r="41" spans="1:28" ht="15" customHeight="1" x14ac:dyDescent="0.2">
      <c r="A41" s="182" t="s">
        <v>12</v>
      </c>
      <c r="B41" s="207">
        <f t="shared" si="2"/>
        <v>22.890934824629159</v>
      </c>
      <c r="C41" s="207">
        <f t="shared" si="2"/>
        <v>23.699060033985642</v>
      </c>
      <c r="D41" s="207">
        <f t="shared" si="2"/>
        <v>10.69543177447402</v>
      </c>
      <c r="E41" s="207">
        <f t="shared" si="2"/>
        <v>11.421379260039561</v>
      </c>
      <c r="F41" s="207">
        <f t="shared" si="2"/>
        <v>0.1371057411977209</v>
      </c>
      <c r="G41" s="211">
        <f t="shared" si="2"/>
        <v>1</v>
      </c>
      <c r="I41" s="210">
        <f t="shared" si="3"/>
        <v>58.27632075420042</v>
      </c>
      <c r="J41" s="207">
        <f t="shared" si="3"/>
        <v>48.139324293303297</v>
      </c>
      <c r="K41" s="207">
        <f t="shared" si="3"/>
        <v>26.024933762405869</v>
      </c>
      <c r="L41" s="207">
        <f t="shared" si="3"/>
        <v>20.565315114806385</v>
      </c>
      <c r="M41" s="207">
        <f t="shared" si="3"/>
        <v>0.72473939963261091</v>
      </c>
      <c r="N41" s="211">
        <f t="shared" si="3"/>
        <v>1</v>
      </c>
    </row>
    <row r="42" spans="1:28" ht="15" customHeight="1" x14ac:dyDescent="0.2">
      <c r="A42" s="182" t="s">
        <v>13</v>
      </c>
      <c r="B42" s="207">
        <f t="shared" si="2"/>
        <v>7.539245401257646</v>
      </c>
      <c r="C42" s="207">
        <f t="shared" si="2"/>
        <v>8.5668788485935714</v>
      </c>
      <c r="D42" s="207">
        <f t="shared" si="2"/>
        <v>4.7971647007560465</v>
      </c>
      <c r="E42" s="207">
        <f t="shared" si="2"/>
        <v>1.8007522092776895</v>
      </c>
      <c r="F42" s="207">
        <f t="shared" si="2"/>
        <v>0.19652278034264109</v>
      </c>
      <c r="G42" s="211">
        <f t="shared" si="2"/>
        <v>1</v>
      </c>
      <c r="I42" s="210">
        <f t="shared" si="3"/>
        <v>26.08879690081093</v>
      </c>
      <c r="J42" s="207">
        <f t="shared" si="3"/>
        <v>22.305652718792366</v>
      </c>
      <c r="K42" s="207">
        <f t="shared" si="3"/>
        <v>13.928489220803804</v>
      </c>
      <c r="L42" s="207">
        <f t="shared" si="3"/>
        <v>4.4722735440106476</v>
      </c>
      <c r="M42" s="207">
        <f t="shared" si="3"/>
        <v>1.0580823688040013</v>
      </c>
      <c r="N42" s="211">
        <f t="shared" si="3"/>
        <v>1</v>
      </c>
    </row>
    <row r="43" spans="1:28" ht="15" customHeight="1" thickBot="1" x14ac:dyDescent="0.25">
      <c r="A43" s="185" t="s">
        <v>14</v>
      </c>
      <c r="B43" s="213"/>
      <c r="C43" s="213"/>
      <c r="D43" s="213"/>
      <c r="E43" s="213"/>
      <c r="F43" s="213"/>
      <c r="G43" s="214"/>
      <c r="I43" s="212"/>
      <c r="J43" s="213"/>
      <c r="K43" s="213"/>
      <c r="L43" s="213"/>
      <c r="M43" s="213"/>
      <c r="N43" s="214"/>
    </row>
    <row r="65" spans="1:28" s="5" customFormat="1" ht="16.5" customHeight="1" x14ac:dyDescent="0.2">
      <c r="A65" s="5" t="s">
        <v>127</v>
      </c>
    </row>
    <row r="66" spans="1:28" ht="5.0999999999999996" customHeight="1" thickBot="1" x14ac:dyDescent="0.25">
      <c r="A66" s="203"/>
      <c r="B66" s="205"/>
      <c r="C66" s="40"/>
    </row>
    <row r="67" spans="1:28" ht="18" customHeight="1" x14ac:dyDescent="0.2">
      <c r="A67" s="611" t="s">
        <v>53</v>
      </c>
      <c r="B67" s="173" t="s">
        <v>95</v>
      </c>
      <c r="C67" s="173"/>
      <c r="D67" s="173"/>
      <c r="E67" s="173"/>
      <c r="F67" s="173"/>
      <c r="G67" s="174"/>
      <c r="I67" s="191" t="s">
        <v>96</v>
      </c>
      <c r="J67" s="173"/>
      <c r="K67" s="173"/>
      <c r="L67" s="173"/>
      <c r="M67" s="173"/>
      <c r="N67" s="174"/>
    </row>
    <row r="68" spans="1:28" ht="18" customHeight="1" x14ac:dyDescent="0.2">
      <c r="A68" s="612"/>
      <c r="B68" s="175" t="s">
        <v>15</v>
      </c>
      <c r="C68" s="175" t="s">
        <v>16</v>
      </c>
      <c r="D68" s="175" t="s">
        <v>17</v>
      </c>
      <c r="E68" s="175" t="s">
        <v>18</v>
      </c>
      <c r="F68" s="175" t="s">
        <v>19</v>
      </c>
      <c r="G68" s="176" t="s">
        <v>20</v>
      </c>
      <c r="I68" s="192" t="s">
        <v>15</v>
      </c>
      <c r="J68" s="175" t="s">
        <v>16</v>
      </c>
      <c r="K68" s="175" t="s">
        <v>17</v>
      </c>
      <c r="L68" s="175" t="s">
        <v>18</v>
      </c>
      <c r="M68" s="175" t="s">
        <v>19</v>
      </c>
      <c r="N68" s="176" t="s">
        <v>20</v>
      </c>
    </row>
    <row r="69" spans="1:28" ht="18" customHeight="1" x14ac:dyDescent="0.2">
      <c r="A69" s="179" t="s">
        <v>10</v>
      </c>
      <c r="B69" s="206">
        <f t="shared" ref="B69:G72" si="4">B29/B$32</f>
        <v>2.1227528440550572</v>
      </c>
      <c r="C69" s="206">
        <f t="shared" si="4"/>
        <v>1.6377460416719634</v>
      </c>
      <c r="D69" s="206">
        <f t="shared" si="4"/>
        <v>1.1596669510315158</v>
      </c>
      <c r="E69" s="206">
        <f t="shared" si="4"/>
        <v>2.3317788799272616</v>
      </c>
      <c r="F69" s="206">
        <f t="shared" si="4"/>
        <v>0.17866015144394354</v>
      </c>
      <c r="G69" s="209">
        <f t="shared" si="4"/>
        <v>3.599998655702235</v>
      </c>
      <c r="I69" s="208">
        <f t="shared" ref="I69:N72" si="5">I29/I$32</f>
        <v>3.7007358267100994</v>
      </c>
      <c r="J69" s="206">
        <f t="shared" si="5"/>
        <v>3.55850111426617</v>
      </c>
      <c r="K69" s="206">
        <f t="shared" si="5"/>
        <v>3.1359073624797498</v>
      </c>
      <c r="L69" s="206">
        <f t="shared" si="5"/>
        <v>6.5798809044961697</v>
      </c>
      <c r="M69" s="206">
        <f t="shared" si="5"/>
        <v>0.67987920790918099</v>
      </c>
      <c r="N69" s="209">
        <f t="shared" si="5"/>
        <v>1.7147050034103284</v>
      </c>
    </row>
    <row r="70" spans="1:28" ht="18" customHeight="1" x14ac:dyDescent="0.2">
      <c r="A70" s="182" t="s">
        <v>11</v>
      </c>
      <c r="B70" s="207">
        <f t="shared" si="4"/>
        <v>2.8139051216047375</v>
      </c>
      <c r="C70" s="207">
        <f t="shared" si="4"/>
        <v>3.051949754670495</v>
      </c>
      <c r="D70" s="207">
        <f t="shared" si="4"/>
        <v>2.7138999084705104</v>
      </c>
      <c r="E70" s="207">
        <f t="shared" si="4"/>
        <v>5.4417049480439372</v>
      </c>
      <c r="F70" s="207">
        <f t="shared" si="4"/>
        <v>0.51740042751407267</v>
      </c>
      <c r="G70" s="211">
        <f t="shared" si="4"/>
        <v>0.97591557680520657</v>
      </c>
      <c r="I70" s="210">
        <f t="shared" si="5"/>
        <v>3.619805434821759</v>
      </c>
      <c r="J70" s="207">
        <f t="shared" si="5"/>
        <v>3.4803003331076887</v>
      </c>
      <c r="K70" s="207">
        <f t="shared" si="5"/>
        <v>3.2028237066155665</v>
      </c>
      <c r="L70" s="207">
        <f t="shared" si="5"/>
        <v>6.6622200061084449</v>
      </c>
      <c r="M70" s="207">
        <f t="shared" si="5"/>
        <v>0.73866064495249628</v>
      </c>
      <c r="N70" s="211">
        <f t="shared" si="5"/>
        <v>1.6778779706078297</v>
      </c>
    </row>
    <row r="71" spans="1:28" ht="18" customHeight="1" x14ac:dyDescent="0.2">
      <c r="A71" s="182" t="s">
        <v>12</v>
      </c>
      <c r="B71" s="207">
        <f t="shared" si="4"/>
        <v>1.862856971780781</v>
      </c>
      <c r="C71" s="207">
        <f t="shared" si="4"/>
        <v>1.697275562655975</v>
      </c>
      <c r="D71" s="207">
        <f t="shared" si="4"/>
        <v>1.3679100956712384</v>
      </c>
      <c r="E71" s="207">
        <f t="shared" si="4"/>
        <v>3.891423158853089</v>
      </c>
      <c r="F71" s="207">
        <f t="shared" si="4"/>
        <v>0.42804221580790242</v>
      </c>
      <c r="G71" s="211">
        <f t="shared" si="4"/>
        <v>0.61354138506340028</v>
      </c>
      <c r="I71" s="210">
        <f t="shared" si="5"/>
        <v>1.547111734061076</v>
      </c>
      <c r="J71" s="207">
        <f t="shared" si="5"/>
        <v>1.4947503390122212</v>
      </c>
      <c r="K71" s="207">
        <f t="shared" si="5"/>
        <v>1.29410414211625</v>
      </c>
      <c r="L71" s="207">
        <f t="shared" si="5"/>
        <v>3.1848619790029669</v>
      </c>
      <c r="M71" s="207">
        <f t="shared" si="5"/>
        <v>0.47440144272546425</v>
      </c>
      <c r="N71" s="211">
        <f t="shared" si="5"/>
        <v>0.69260178560383134</v>
      </c>
    </row>
    <row r="72" spans="1:28" ht="18" customHeight="1" x14ac:dyDescent="0.2">
      <c r="A72" s="182" t="s">
        <v>13</v>
      </c>
      <c r="B72" s="207">
        <f t="shared" si="4"/>
        <v>1</v>
      </c>
      <c r="C72" s="207">
        <f t="shared" si="4"/>
        <v>1</v>
      </c>
      <c r="D72" s="207">
        <f t="shared" si="4"/>
        <v>1</v>
      </c>
      <c r="E72" s="207">
        <f t="shared" si="4"/>
        <v>1</v>
      </c>
      <c r="F72" s="207">
        <f t="shared" si="4"/>
        <v>1</v>
      </c>
      <c r="G72" s="211">
        <f t="shared" si="4"/>
        <v>1</v>
      </c>
      <c r="I72" s="210">
        <f t="shared" si="5"/>
        <v>1</v>
      </c>
      <c r="J72" s="207">
        <f t="shared" si="5"/>
        <v>1</v>
      </c>
      <c r="K72" s="207">
        <f t="shared" si="5"/>
        <v>1</v>
      </c>
      <c r="L72" s="207">
        <f t="shared" si="5"/>
        <v>1</v>
      </c>
      <c r="M72" s="207">
        <f t="shared" si="5"/>
        <v>1</v>
      </c>
      <c r="N72" s="211">
        <f t="shared" si="5"/>
        <v>1</v>
      </c>
    </row>
    <row r="73" spans="1:28" ht="18" customHeight="1" thickBot="1" x14ac:dyDescent="0.25">
      <c r="A73" s="265" t="s">
        <v>14</v>
      </c>
      <c r="B73" s="278"/>
      <c r="C73" s="278"/>
      <c r="D73" s="278"/>
      <c r="E73" s="278"/>
      <c r="F73" s="278"/>
      <c r="G73" s="279"/>
      <c r="I73" s="280"/>
      <c r="J73" s="278"/>
      <c r="K73" s="278"/>
      <c r="L73" s="278"/>
      <c r="M73" s="278"/>
      <c r="N73" s="279"/>
    </row>
    <row r="75" spans="1:28" s="5" customFormat="1" ht="16.5" customHeight="1" x14ac:dyDescent="0.2">
      <c r="A75" s="5" t="s">
        <v>121</v>
      </c>
    </row>
    <row r="76" spans="1:28" ht="5.0999999999999996" customHeight="1" thickBot="1" x14ac:dyDescent="0.25"/>
    <row r="77" spans="1:28" ht="18" customHeight="1" x14ac:dyDescent="0.2">
      <c r="A77" s="611" t="s">
        <v>97</v>
      </c>
      <c r="B77" s="173" t="s">
        <v>122</v>
      </c>
      <c r="C77" s="173"/>
      <c r="D77" s="173"/>
      <c r="E77" s="173"/>
      <c r="F77" s="173"/>
      <c r="G77" s="174"/>
      <c r="I77" s="191" t="s">
        <v>123</v>
      </c>
      <c r="J77" s="173"/>
      <c r="K77" s="173"/>
      <c r="L77" s="173"/>
      <c r="M77" s="173"/>
      <c r="N77" s="174"/>
    </row>
    <row r="78" spans="1:28" ht="18" customHeight="1" x14ac:dyDescent="0.2">
      <c r="A78" s="612"/>
      <c r="B78" s="175" t="s">
        <v>15</v>
      </c>
      <c r="C78" s="175" t="s">
        <v>16</v>
      </c>
      <c r="D78" s="175" t="s">
        <v>17</v>
      </c>
      <c r="E78" s="175" t="s">
        <v>18</v>
      </c>
      <c r="F78" s="175" t="s">
        <v>19</v>
      </c>
      <c r="G78" s="176" t="s">
        <v>20</v>
      </c>
      <c r="I78" s="192" t="s">
        <v>15</v>
      </c>
      <c r="J78" s="175" t="s">
        <v>16</v>
      </c>
      <c r="K78" s="175" t="s">
        <v>17</v>
      </c>
      <c r="L78" s="175" t="s">
        <v>18</v>
      </c>
      <c r="M78" s="175" t="s">
        <v>19</v>
      </c>
      <c r="N78" s="176" t="s">
        <v>20</v>
      </c>
    </row>
    <row r="79" spans="1:28" ht="18" customHeight="1" x14ac:dyDescent="0.2">
      <c r="A79" s="236" t="s">
        <v>98</v>
      </c>
      <c r="B79" s="237">
        <f>SUM(B80:F80)</f>
        <v>23.398338241885313</v>
      </c>
      <c r="C79" s="237">
        <f>G80</f>
        <v>1.0438061548829562</v>
      </c>
      <c r="D79" s="237"/>
      <c r="E79" s="237"/>
      <c r="F79" s="237"/>
      <c r="G79" s="238"/>
      <c r="I79" s="248">
        <f t="shared" ref="I79:L79" si="6">I29</f>
        <v>1.3006003826057285E-2</v>
      </c>
      <c r="J79" s="246">
        <f t="shared" si="6"/>
        <v>1.0692611397790019E-2</v>
      </c>
      <c r="K79" s="246">
        <f t="shared" si="6"/>
        <v>5.883950063413813E-3</v>
      </c>
      <c r="L79" s="245">
        <f t="shared" si="6"/>
        <v>3.9641322342118179E-3</v>
      </c>
      <c r="M79" s="531">
        <f>M80</f>
        <v>2.1671749776650911E-4</v>
      </c>
      <c r="N79" s="247">
        <f>M79</f>
        <v>2.1671749776650911E-4</v>
      </c>
      <c r="P79" s="309"/>
      <c r="Q79" s="309"/>
      <c r="R79" s="309"/>
      <c r="S79" s="309"/>
      <c r="T79" s="309"/>
      <c r="U79" s="309"/>
      <c r="W79" s="309">
        <v>7.49831546656754E-3</v>
      </c>
      <c r="X79" s="309">
        <v>7.498315466567318E-3</v>
      </c>
      <c r="Y79" s="309">
        <v>7.49831546656754E-3</v>
      </c>
      <c r="Z79" s="309">
        <v>7.498315466567318E-3</v>
      </c>
      <c r="AA79" s="309">
        <v>7.498315466567318E-3</v>
      </c>
      <c r="AB79" s="309">
        <v>7.498315466567318E-3</v>
      </c>
    </row>
    <row r="80" spans="1:28" ht="18" customHeight="1" x14ac:dyDescent="0.2">
      <c r="A80" s="239" t="s">
        <v>99</v>
      </c>
      <c r="B80" s="533">
        <f>B29</f>
        <v>8.9897818425190721</v>
      </c>
      <c r="C80" s="533">
        <f>C29</f>
        <v>7.8811759829516896</v>
      </c>
      <c r="D80" s="533">
        <f t="shared" ref="D80:E83" si="7">D29</f>
        <v>3.1249261001927149</v>
      </c>
      <c r="E80" s="533">
        <f t="shared" si="7"/>
        <v>2.3586481613388783</v>
      </c>
      <c r="F80" s="240">
        <f>SUM(F13:G13)/SUM(F21:G21)</f>
        <v>1.0438061548829562</v>
      </c>
      <c r="G80" s="530">
        <f>F80</f>
        <v>1.0438061548829562</v>
      </c>
      <c r="I80" s="248">
        <f t="shared" ref="I80:L83" si="8">I29</f>
        <v>1.3006003826057285E-2</v>
      </c>
      <c r="J80" s="246">
        <f t="shared" si="8"/>
        <v>1.0692611397790019E-2</v>
      </c>
      <c r="K80" s="246">
        <f t="shared" si="8"/>
        <v>5.883950063413813E-3</v>
      </c>
      <c r="L80" s="246">
        <f t="shared" si="8"/>
        <v>3.9641322342118179E-3</v>
      </c>
      <c r="M80" s="532">
        <f>SUM(M13:N13)/SUM(M21:N21)</f>
        <v>2.1671749776650911E-4</v>
      </c>
      <c r="N80" s="249">
        <f>M80</f>
        <v>2.1671749776650911E-4</v>
      </c>
      <c r="P80" s="309"/>
      <c r="Q80" s="309"/>
      <c r="R80" s="309"/>
      <c r="S80" s="309"/>
      <c r="T80" s="309"/>
      <c r="U80" s="309"/>
      <c r="W80" s="309">
        <v>7.49831546656754E-3</v>
      </c>
      <c r="X80" s="309">
        <v>7.498315466567318E-3</v>
      </c>
      <c r="Y80" s="309">
        <v>7.49831546656754E-3</v>
      </c>
      <c r="Z80" s="309">
        <v>7.498315466567318E-3</v>
      </c>
      <c r="AA80" s="309">
        <v>7.498315466567318E-3</v>
      </c>
      <c r="AB80" s="309">
        <v>7.498315466567318E-3</v>
      </c>
    </row>
    <row r="81" spans="1:28" ht="18" customHeight="1" x14ac:dyDescent="0.2">
      <c r="A81" s="239" t="s">
        <v>100</v>
      </c>
      <c r="B81" s="533">
        <f>SUM(B14:C14)/SUM(B22:C22)</f>
        <v>13.332285458938641</v>
      </c>
      <c r="C81" s="533">
        <f>B81</f>
        <v>13.332285458938641</v>
      </c>
      <c r="D81" s="533">
        <f t="shared" si="7"/>
        <v>7.3130795438695229</v>
      </c>
      <c r="E81" s="533">
        <f t="shared" si="7"/>
        <v>5.5044101654496895</v>
      </c>
      <c r="F81" s="240">
        <f>SUM(F14:G14)/SUM(F22:G22)</f>
        <v>0.33161461187566954</v>
      </c>
      <c r="G81" s="241">
        <f t="shared" ref="G81:G82" si="9">F81</f>
        <v>0.33161461187566954</v>
      </c>
      <c r="I81" s="248">
        <f t="shared" si="8"/>
        <v>1.2721579042492067E-2</v>
      </c>
      <c r="J81" s="246">
        <f t="shared" si="8"/>
        <v>1.0457633091733287E-2</v>
      </c>
      <c r="K81" s="246">
        <f t="shared" si="8"/>
        <v>6.0095062045269904E-3</v>
      </c>
      <c r="L81" s="246">
        <f t="shared" si="8"/>
        <v>4.0137384644118547E-3</v>
      </c>
      <c r="M81" s="532">
        <f t="shared" ref="M81:M83" si="10">SUM(M14:N14)/SUM(M22:N22)</f>
        <v>2.126242205183826E-4</v>
      </c>
      <c r="N81" s="249">
        <f t="shared" ref="N81:N83" si="11">M81</f>
        <v>2.126242205183826E-4</v>
      </c>
      <c r="P81" s="309"/>
      <c r="Q81" s="309"/>
      <c r="R81" s="309"/>
      <c r="S81" s="309"/>
      <c r="T81" s="309"/>
      <c r="U81" s="309"/>
      <c r="W81" s="309">
        <v>7.49831546656754E-3</v>
      </c>
      <c r="X81" s="309">
        <v>7.498315466567318E-3</v>
      </c>
      <c r="Y81" s="309">
        <v>7.49831546656754E-3</v>
      </c>
      <c r="Z81" s="309">
        <v>7.498315466567318E-3</v>
      </c>
      <c r="AA81" s="309">
        <v>7.498315466567318E-3</v>
      </c>
      <c r="AB81" s="309">
        <v>7.498315466567318E-3</v>
      </c>
    </row>
    <row r="82" spans="1:28" ht="18" customHeight="1" x14ac:dyDescent="0.2">
      <c r="A82" s="239" t="s">
        <v>101</v>
      </c>
      <c r="B82" s="533">
        <f>SUM(B15:C15)/SUM(B23:C23)</f>
        <v>8.0312848764120073</v>
      </c>
      <c r="C82" s="533">
        <f>B82</f>
        <v>8.0312848764120073</v>
      </c>
      <c r="D82" s="533">
        <f>SUM(D15:E15)/SUM(D23:E23)</f>
        <v>3.8098807450631016</v>
      </c>
      <c r="E82" s="533">
        <f>D82</f>
        <v>3.8098807450631016</v>
      </c>
      <c r="F82" s="240">
        <f>SUM(F15:G15)/SUM(F23:G23)</f>
        <v>0.21784833593863223</v>
      </c>
      <c r="G82" s="241">
        <f t="shared" si="9"/>
        <v>0.21784833593863223</v>
      </c>
      <c r="I82" s="248">
        <f t="shared" si="8"/>
        <v>5.4372271015152183E-3</v>
      </c>
      <c r="J82" s="246">
        <f t="shared" si="8"/>
        <v>4.4914372648913788E-3</v>
      </c>
      <c r="K82" s="246">
        <f t="shared" si="8"/>
        <v>2.4281470301622016E-3</v>
      </c>
      <c r="L82" s="246">
        <f t="shared" si="8"/>
        <v>1.9187602656841754E-3</v>
      </c>
      <c r="M82" s="532">
        <f t="shared" si="10"/>
        <v>9.0805912129586294E-5</v>
      </c>
      <c r="N82" s="249">
        <f t="shared" si="11"/>
        <v>9.0805912129586294E-5</v>
      </c>
      <c r="P82" s="309"/>
      <c r="Q82" s="309"/>
      <c r="R82" s="309"/>
      <c r="S82" s="309"/>
      <c r="T82" s="309"/>
      <c r="U82" s="309"/>
      <c r="W82" s="309">
        <v>7.4983154665670959E-3</v>
      </c>
      <c r="X82" s="309">
        <v>7.498315466567318E-3</v>
      </c>
      <c r="Y82" s="309">
        <v>7.49831546656754E-3</v>
      </c>
      <c r="Z82" s="309">
        <v>7.498315466567318E-3</v>
      </c>
      <c r="AA82" s="309">
        <v>7.498315466567762E-3</v>
      </c>
      <c r="AB82" s="309">
        <v>7.498315466567762E-3</v>
      </c>
    </row>
    <row r="83" spans="1:28" ht="18" customHeight="1" x14ac:dyDescent="0.2">
      <c r="A83" s="239" t="s">
        <v>102</v>
      </c>
      <c r="B83" s="533">
        <f>SUM(B16:C16)/SUM(B24:C24)</f>
        <v>4.5291722994485832</v>
      </c>
      <c r="C83" s="533">
        <f>B83</f>
        <v>4.5291722994485832</v>
      </c>
      <c r="D83" s="533">
        <f t="shared" si="7"/>
        <v>2.6946754819675722</v>
      </c>
      <c r="E83" s="533">
        <f t="shared" si="7"/>
        <v>1.0115230829316264</v>
      </c>
      <c r="F83" s="240">
        <f>SUM(F16:G16)/SUM(F24:G24)</f>
        <v>0.3622446255256796</v>
      </c>
      <c r="G83" s="241">
        <f t="shared" ref="G83" si="12">F83</f>
        <v>0.3622446255256796</v>
      </c>
      <c r="I83" s="248">
        <f t="shared" si="8"/>
        <v>3.5144372457461886E-3</v>
      </c>
      <c r="J83" s="246">
        <f t="shared" si="8"/>
        <v>3.0048076576182376E-3</v>
      </c>
      <c r="K83" s="246">
        <f t="shared" si="8"/>
        <v>1.8763150129412691E-3</v>
      </c>
      <c r="L83" s="246">
        <f t="shared" si="8"/>
        <v>6.0246261167174679E-4</v>
      </c>
      <c r="M83" s="532">
        <f t="shared" si="10"/>
        <v>1.3541318985226542E-4</v>
      </c>
      <c r="N83" s="249">
        <f t="shared" si="11"/>
        <v>1.3541318985226542E-4</v>
      </c>
      <c r="P83" s="309"/>
      <c r="Q83" s="309"/>
      <c r="R83" s="309"/>
      <c r="S83" s="309"/>
      <c r="T83" s="309"/>
      <c r="U83" s="309"/>
      <c r="W83" s="309">
        <v>7.49831546656754E-3</v>
      </c>
      <c r="X83" s="309">
        <v>7.498315466567318E-3</v>
      </c>
      <c r="Y83" s="309">
        <v>7.49831546656754E-3</v>
      </c>
      <c r="Z83" s="309">
        <v>7.498315466567318E-3</v>
      </c>
      <c r="AA83" s="309">
        <v>7.49831546656754E-3</v>
      </c>
      <c r="AB83" s="309">
        <v>7.49831546656754E-3</v>
      </c>
    </row>
    <row r="84" spans="1:28" ht="18" customHeight="1" thickBot="1" x14ac:dyDescent="0.25">
      <c r="A84" s="272" t="s">
        <v>103</v>
      </c>
      <c r="B84" s="273"/>
      <c r="C84" s="273"/>
      <c r="D84" s="273"/>
      <c r="E84" s="273"/>
      <c r="F84" s="273"/>
      <c r="G84" s="274"/>
      <c r="I84" s="275"/>
      <c r="J84" s="276"/>
      <c r="K84" s="276"/>
      <c r="L84" s="276"/>
      <c r="M84" s="276"/>
      <c r="N84" s="277"/>
    </row>
    <row r="86" spans="1:28" s="5" customFormat="1" ht="16.5" customHeight="1" x14ac:dyDescent="0.2">
      <c r="A86" s="5" t="s">
        <v>128</v>
      </c>
    </row>
    <row r="87" spans="1:28" ht="5.0999999999999996" customHeight="1" thickBot="1" x14ac:dyDescent="0.25"/>
    <row r="88" spans="1:28" ht="22.5" customHeight="1" x14ac:dyDescent="0.2">
      <c r="A88" s="615" t="s">
        <v>97</v>
      </c>
      <c r="B88" s="173" t="s">
        <v>125</v>
      </c>
      <c r="C88" s="173"/>
      <c r="D88" s="173"/>
      <c r="E88" s="613" t="s">
        <v>124</v>
      </c>
    </row>
    <row r="89" spans="1:28" ht="25.5" x14ac:dyDescent="0.2">
      <c r="A89" s="616"/>
      <c r="B89" s="253" t="s">
        <v>95</v>
      </c>
      <c r="C89" s="253" t="s">
        <v>96</v>
      </c>
      <c r="D89" s="253" t="s">
        <v>4</v>
      </c>
      <c r="E89" s="614"/>
    </row>
    <row r="90" spans="1:28" ht="18" customHeight="1" x14ac:dyDescent="0.2">
      <c r="A90" s="236" t="s">
        <v>98</v>
      </c>
      <c r="B90" s="254">
        <f>'I. Datos de entrada'!C115*B79+'I. Datos de entrada'!H115*C79</f>
        <v>3063438.4726811238</v>
      </c>
      <c r="C90" s="256">
        <f>SUMPRODUCT(I79:N79,'I. Datos de entrada'!C101:H101)*1000</f>
        <v>323372.37668027001</v>
      </c>
      <c r="D90" s="257">
        <f>SUM(B90:C90)</f>
        <v>3386810.8493613936</v>
      </c>
      <c r="E90" s="259">
        <f t="shared" ref="E90:E94" si="13">B90/D90</f>
        <v>0.90452009543395551</v>
      </c>
    </row>
    <row r="91" spans="1:28" ht="18" customHeight="1" x14ac:dyDescent="0.2">
      <c r="A91" s="239" t="s">
        <v>99</v>
      </c>
      <c r="B91" s="256">
        <f>SUMPRODUCT(B80:G80,'I. Datos de entrada'!C116:H116)</f>
        <v>455232.3918789904</v>
      </c>
      <c r="C91" s="256">
        <f>SUMPRODUCT(I80:N80,'I. Datos de entrada'!C102:H102)*1000</f>
        <v>158961.59222170967</v>
      </c>
      <c r="D91" s="257">
        <f t="shared" ref="D91:D94" si="14">SUM(B91:C91)</f>
        <v>614193.98410070012</v>
      </c>
      <c r="E91" s="259">
        <f t="shared" si="13"/>
        <v>0.74118666685662749</v>
      </c>
      <c r="F91" s="302"/>
      <c r="G91" s="252"/>
    </row>
    <row r="92" spans="1:28" ht="18" customHeight="1" x14ac:dyDescent="0.2">
      <c r="A92" s="239" t="s">
        <v>100</v>
      </c>
      <c r="B92" s="256">
        <f>SUMPRODUCT(B81:G81,'I. Datos de entrada'!C117:H117)</f>
        <v>794631.67432971217</v>
      </c>
      <c r="C92" s="256">
        <f>SUMPRODUCT(I81:N81,'I. Datos de entrada'!C103:H103)*1000</f>
        <v>279176.01336302701</v>
      </c>
      <c r="D92" s="257">
        <f t="shared" si="14"/>
        <v>1073807.6876927391</v>
      </c>
      <c r="E92" s="259">
        <f t="shared" si="13"/>
        <v>0.7400130241543672</v>
      </c>
      <c r="F92" s="252"/>
      <c r="G92" s="252"/>
      <c r="I92" s="252"/>
    </row>
    <row r="93" spans="1:28" ht="18" customHeight="1" x14ac:dyDescent="0.2">
      <c r="A93" s="239" t="s">
        <v>101</v>
      </c>
      <c r="B93" s="256">
        <f>SUMPRODUCT(B82:G82,'I. Datos de entrada'!C118:H118)</f>
        <v>104939.65620923704</v>
      </c>
      <c r="C93" s="256">
        <f>SUMPRODUCT(I82:N82,'I. Datos de entrada'!C104:H104)*1000</f>
        <v>38138.019009706957</v>
      </c>
      <c r="D93" s="257">
        <f t="shared" si="14"/>
        <v>143077.675218944</v>
      </c>
      <c r="E93" s="259">
        <f t="shared" si="13"/>
        <v>0.73344535441083725</v>
      </c>
      <c r="F93" s="252"/>
      <c r="G93" s="252"/>
      <c r="I93" s="252"/>
    </row>
    <row r="94" spans="1:28" ht="18" customHeight="1" x14ac:dyDescent="0.2">
      <c r="A94" s="239" t="s">
        <v>102</v>
      </c>
      <c r="B94" s="256">
        <f>SUMPRODUCT(B83:G83,'I. Datos de entrada'!C119:H119)</f>
        <v>26933.473461990685</v>
      </c>
      <c r="C94" s="256">
        <f>SUMPRODUCT(I83:N83,'I. Datos de entrada'!C105:H105)*1000</f>
        <v>10763.547663705049</v>
      </c>
      <c r="D94" s="257">
        <f t="shared" si="14"/>
        <v>37697.021125695734</v>
      </c>
      <c r="E94" s="259">
        <f t="shared" si="13"/>
        <v>0.71447219588477773</v>
      </c>
      <c r="F94" s="252"/>
      <c r="G94" s="252"/>
      <c r="I94" s="252"/>
    </row>
    <row r="95" spans="1:28" ht="18" customHeight="1" thickBot="1" x14ac:dyDescent="0.25">
      <c r="A95" s="242" t="s">
        <v>103</v>
      </c>
      <c r="B95" s="281"/>
      <c r="C95" s="281"/>
      <c r="D95" s="282"/>
      <c r="E95" s="283"/>
      <c r="F95" s="252"/>
      <c r="G95" s="252"/>
    </row>
    <row r="96" spans="1:28" ht="7.5" customHeight="1" thickBot="1" x14ac:dyDescent="0.25"/>
    <row r="97" spans="1:5" ht="16.5" customHeight="1" thickBot="1" x14ac:dyDescent="0.25">
      <c r="A97" s="403" t="s">
        <v>1</v>
      </c>
      <c r="B97" s="397">
        <f>SUM(B90:B95)</f>
        <v>4445175.6685610535</v>
      </c>
      <c r="C97" s="397">
        <f>SUM(C90:C95)</f>
        <v>810411.54893841874</v>
      </c>
      <c r="D97" s="398">
        <f>SUM(B97:C97)</f>
        <v>5255587.2174994722</v>
      </c>
      <c r="E97" s="404">
        <f>B97/D97</f>
        <v>0.8458</v>
      </c>
    </row>
    <row r="98" spans="1:5" x14ac:dyDescent="0.2">
      <c r="B98" s="252">
        <f>B97-SUM(B13:G17)</f>
        <v>0</v>
      </c>
      <c r="C98" s="252">
        <f>C97-SUM(I13:N17)</f>
        <v>0</v>
      </c>
      <c r="D98" s="252">
        <f>D97-'I. Datos de entrada'!C29</f>
        <v>0</v>
      </c>
    </row>
  </sheetData>
  <mergeCells count="8">
    <mergeCell ref="A88:A89"/>
    <mergeCell ref="E88:E89"/>
    <mergeCell ref="A11:A12"/>
    <mergeCell ref="A19:A20"/>
    <mergeCell ref="A27:A28"/>
    <mergeCell ref="A37:A38"/>
    <mergeCell ref="A67:A68"/>
    <mergeCell ref="A77:A7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2A193-A5D5-4D0E-B0CA-8022B87F8669}">
  <dimension ref="A1:R79"/>
  <sheetViews>
    <sheetView showGridLines="0" workbookViewId="0">
      <selection activeCell="D65" sqref="D65"/>
    </sheetView>
  </sheetViews>
  <sheetFormatPr baseColWidth="10" defaultColWidth="11.42578125" defaultRowHeight="12.75" x14ac:dyDescent="0.2"/>
  <cols>
    <col min="1" max="1" width="13.28515625" style="325" customWidth="1"/>
    <col min="2" max="2" width="16.42578125" style="325" bestFit="1" customWidth="1"/>
    <col min="3" max="3" width="14.7109375" style="325" bestFit="1" customWidth="1"/>
    <col min="4" max="4" width="16.5703125" style="325" bestFit="1" customWidth="1"/>
    <col min="5" max="5" width="13.7109375" style="325" bestFit="1" customWidth="1"/>
    <col min="6" max="6" width="13.28515625" style="325" bestFit="1" customWidth="1"/>
    <col min="7" max="7" width="13" style="325" bestFit="1" customWidth="1"/>
    <col min="8" max="8" width="2.42578125" style="325" customWidth="1"/>
    <col min="9" max="9" width="22.7109375" style="325" bestFit="1" customWidth="1"/>
    <col min="10" max="10" width="16.5703125" style="325" customWidth="1"/>
    <col min="11" max="16384" width="11.42578125" style="325"/>
  </cols>
  <sheetData>
    <row r="1" spans="1:15" s="1" customFormat="1" x14ac:dyDescent="0.2"/>
    <row r="2" spans="1:15" s="1" customFormat="1" x14ac:dyDescent="0.2"/>
    <row r="3" spans="1:15" s="1" customFormat="1" x14ac:dyDescent="0.2"/>
    <row r="4" spans="1:15" s="1" customFormat="1" x14ac:dyDescent="0.2"/>
    <row r="5" spans="1:15" s="1" customFormat="1" x14ac:dyDescent="0.2"/>
    <row r="6" spans="1:15" s="386" customFormat="1" ht="29.25" customHeight="1" x14ac:dyDescent="0.2">
      <c r="A6" s="386" t="s">
        <v>202</v>
      </c>
    </row>
    <row r="7" spans="1:15" s="5" customFormat="1" ht="16.5" customHeight="1" x14ac:dyDescent="0.2">
      <c r="A7" s="5" t="s">
        <v>203</v>
      </c>
    </row>
    <row r="8" spans="1:15" ht="5.0999999999999996" customHeight="1" thickBot="1" x14ac:dyDescent="0.25"/>
    <row r="9" spans="1:15" s="328" customFormat="1" ht="24.95" customHeight="1" x14ac:dyDescent="0.2">
      <c r="A9" s="617" t="s">
        <v>142</v>
      </c>
      <c r="B9" s="326" t="s">
        <v>143</v>
      </c>
      <c r="C9" s="326"/>
      <c r="D9" s="326"/>
      <c r="E9" s="326"/>
      <c r="F9" s="326"/>
      <c r="G9" s="327"/>
    </row>
    <row r="10" spans="1:15" s="328" customFormat="1" ht="24.95" customHeight="1" x14ac:dyDescent="0.2">
      <c r="A10" s="618"/>
      <c r="B10" s="329" t="s">
        <v>15</v>
      </c>
      <c r="C10" s="329" t="s">
        <v>16</v>
      </c>
      <c r="D10" s="329" t="s">
        <v>17</v>
      </c>
      <c r="E10" s="329" t="s">
        <v>18</v>
      </c>
      <c r="F10" s="329" t="s">
        <v>19</v>
      </c>
      <c r="G10" s="330" t="s">
        <v>20</v>
      </c>
    </row>
    <row r="11" spans="1:15" ht="30" customHeight="1" thickBot="1" x14ac:dyDescent="0.25">
      <c r="A11" s="331" t="s">
        <v>98</v>
      </c>
      <c r="B11" s="332">
        <f>'I. Datos de entrada'!C101*1000</f>
        <v>8895219.2269420605</v>
      </c>
      <c r="C11" s="332">
        <f>'I. Datos de entrada'!D101*1000</f>
        <v>10622170.153931629</v>
      </c>
      <c r="D11" s="332">
        <f>'I. Datos de entrada'!E101*1000</f>
        <v>8051711.8947963333</v>
      </c>
      <c r="E11" s="332">
        <f>'I. Datos de entrada'!F101*1000</f>
        <v>9585923.5760943834</v>
      </c>
      <c r="F11" s="332">
        <f>'I. Datos de entrada'!G101*1000</f>
        <v>4155111.8635482127</v>
      </c>
      <c r="G11" s="333">
        <f>'I. Datos de entrada'!H101*1000</f>
        <v>36112261.362528592</v>
      </c>
      <c r="H11" s="334"/>
      <c r="I11" s="335"/>
      <c r="J11" s="334"/>
      <c r="K11" s="334"/>
      <c r="L11" s="334"/>
      <c r="M11" s="334"/>
      <c r="N11" s="334"/>
      <c r="O11" s="328"/>
    </row>
    <row r="12" spans="1:15" ht="13.5" thickBot="1" x14ac:dyDescent="0.25"/>
    <row r="13" spans="1:15" s="328" customFormat="1" ht="24.95" customHeight="1" x14ac:dyDescent="0.2">
      <c r="A13" s="617" t="s">
        <v>53</v>
      </c>
      <c r="B13" s="326" t="s">
        <v>148</v>
      </c>
      <c r="C13" s="326"/>
      <c r="D13" s="326"/>
      <c r="E13" s="326"/>
      <c r="F13" s="326"/>
      <c r="G13" s="327"/>
    </row>
    <row r="14" spans="1:15" s="328" customFormat="1" ht="24.95" customHeight="1" x14ac:dyDescent="0.2">
      <c r="A14" s="618"/>
      <c r="B14" s="329" t="s">
        <v>15</v>
      </c>
      <c r="C14" s="329" t="s">
        <v>16</v>
      </c>
      <c r="D14" s="329" t="s">
        <v>17</v>
      </c>
      <c r="E14" s="329" t="s">
        <v>18</v>
      </c>
      <c r="F14" s="329" t="s">
        <v>19</v>
      </c>
      <c r="G14" s="330" t="s">
        <v>20</v>
      </c>
    </row>
    <row r="15" spans="1:15" s="328" customFormat="1" ht="24.95" customHeight="1" x14ac:dyDescent="0.2">
      <c r="A15" s="347" t="s">
        <v>2</v>
      </c>
      <c r="B15" s="348">
        <f>'Va. Peajes transporte'!I79</f>
        <v>4.7463389672522307E-3</v>
      </c>
      <c r="C15" s="348">
        <f>'Va. Peajes transporte'!J79</f>
        <v>3.8744089150882927E-3</v>
      </c>
      <c r="D15" s="348">
        <f>'Va. Peajes transporte'!K79</f>
        <v>2.0709185844467125E-3</v>
      </c>
      <c r="E15" s="348">
        <f>'Va. Peajes transporte'!L79</f>
        <v>1.3969554770983303E-3</v>
      </c>
      <c r="F15" s="348">
        <f>'Va. Peajes transporte'!M79</f>
        <v>1.0444706105508479E-4</v>
      </c>
      <c r="G15" s="349">
        <f>'Va. Peajes transporte'!N79</f>
        <v>1.0444706105508479E-4</v>
      </c>
    </row>
    <row r="16" spans="1:15" ht="30" customHeight="1" thickBot="1" x14ac:dyDescent="0.25">
      <c r="A16" s="331" t="s">
        <v>146</v>
      </c>
      <c r="B16" s="350">
        <f>'Vb. Peajes distribución'!I79</f>
        <v>1.3006003826057285E-2</v>
      </c>
      <c r="C16" s="350">
        <f>'Vb. Peajes distribución'!J79</f>
        <v>1.0692611397790019E-2</v>
      </c>
      <c r="D16" s="350">
        <f>'Vb. Peajes distribución'!K79</f>
        <v>5.883950063413813E-3</v>
      </c>
      <c r="E16" s="350">
        <f>'Vb. Peajes distribución'!L79</f>
        <v>3.9641322342118179E-3</v>
      </c>
      <c r="F16" s="350">
        <f>'Vb. Peajes distribución'!M79</f>
        <v>2.1671749776650911E-4</v>
      </c>
      <c r="G16" s="351">
        <f>'Vb. Peajes distribución'!N79</f>
        <v>2.1671749776650911E-4</v>
      </c>
      <c r="H16" s="334"/>
      <c r="I16" s="335"/>
      <c r="J16" s="334"/>
      <c r="K16" s="334"/>
      <c r="L16" s="334"/>
      <c r="M16" s="334"/>
      <c r="N16" s="334"/>
      <c r="O16" s="328"/>
    </row>
    <row r="17" spans="1:15" ht="13.5" thickBot="1" x14ac:dyDescent="0.25"/>
    <row r="18" spans="1:15" s="328" customFormat="1" ht="24.95" customHeight="1" x14ac:dyDescent="0.2">
      <c r="A18" s="617" t="s">
        <v>142</v>
      </c>
      <c r="B18" s="326" t="s">
        <v>144</v>
      </c>
      <c r="C18" s="326"/>
      <c r="D18" s="326"/>
      <c r="E18" s="326"/>
      <c r="F18" s="326"/>
      <c r="G18" s="327"/>
      <c r="I18" s="619" t="s">
        <v>149</v>
      </c>
    </row>
    <row r="19" spans="1:15" s="328" customFormat="1" ht="24.95" customHeight="1" x14ac:dyDescent="0.2">
      <c r="A19" s="618"/>
      <c r="B19" s="329" t="s">
        <v>15</v>
      </c>
      <c r="C19" s="329" t="s">
        <v>16</v>
      </c>
      <c r="D19" s="329" t="s">
        <v>17</v>
      </c>
      <c r="E19" s="329" t="s">
        <v>18</v>
      </c>
      <c r="F19" s="329" t="s">
        <v>19</v>
      </c>
      <c r="G19" s="330" t="s">
        <v>20</v>
      </c>
      <c r="I19" s="620"/>
    </row>
    <row r="20" spans="1:15" s="328" customFormat="1" ht="24.95" customHeight="1" x14ac:dyDescent="0.2">
      <c r="A20" s="347" t="s">
        <v>2</v>
      </c>
      <c r="B20" s="356">
        <f>B11*B15</f>
        <v>42219.725639086362</v>
      </c>
      <c r="C20" s="356">
        <f t="shared" ref="C20:G20" si="0">C11*C15</f>
        <v>41154.630741977482</v>
      </c>
      <c r="D20" s="356">
        <f t="shared" si="0"/>
        <v>16674.43979954438</v>
      </c>
      <c r="E20" s="356">
        <f t="shared" si="0"/>
        <v>13391.108442671062</v>
      </c>
      <c r="F20" s="356">
        <f t="shared" si="0"/>
        <v>433.98922250272727</v>
      </c>
      <c r="G20" s="357">
        <f t="shared" si="0"/>
        <v>3771.819567369203</v>
      </c>
      <c r="I20" s="378">
        <f>SUM(B20:H20)</f>
        <v>117645.71341315121</v>
      </c>
    </row>
    <row r="21" spans="1:15" ht="30" customHeight="1" thickBot="1" x14ac:dyDescent="0.25">
      <c r="A21" s="331" t="s">
        <v>146</v>
      </c>
      <c r="B21" s="352">
        <f>B11*B$16</f>
        <v>115691.25529922677</v>
      </c>
      <c r="C21" s="352">
        <f t="shared" ref="C21:G21" si="1">C11*C$16</f>
        <v>113578.7376571943</v>
      </c>
      <c r="D21" s="352">
        <f t="shared" si="1"/>
        <v>47375.870713976641</v>
      </c>
      <c r="E21" s="352">
        <f t="shared" si="1"/>
        <v>37999.868642686764</v>
      </c>
      <c r="F21" s="352">
        <f t="shared" si="1"/>
        <v>900.48544600810533</v>
      </c>
      <c r="G21" s="353">
        <f t="shared" si="1"/>
        <v>7826.1589211773835</v>
      </c>
      <c r="H21" s="334"/>
      <c r="I21" s="379">
        <f>SUM(B21:H21)</f>
        <v>323372.37668026995</v>
      </c>
      <c r="J21" s="335"/>
      <c r="K21" s="334"/>
      <c r="L21" s="334"/>
      <c r="M21" s="334"/>
      <c r="N21" s="334"/>
      <c r="O21" s="328"/>
    </row>
    <row r="22" spans="1:15" ht="13.5" thickBot="1" x14ac:dyDescent="0.25"/>
    <row r="23" spans="1:15" ht="24.95" customHeight="1" x14ac:dyDescent="0.2">
      <c r="A23" s="617" t="s">
        <v>140</v>
      </c>
      <c r="B23" s="326" t="s">
        <v>211</v>
      </c>
      <c r="C23" s="326"/>
      <c r="D23" s="326"/>
      <c r="E23" s="326"/>
      <c r="F23" s="326"/>
      <c r="G23" s="327"/>
    </row>
    <row r="24" spans="1:15" ht="24.95" customHeight="1" x14ac:dyDescent="0.2">
      <c r="A24" s="618"/>
      <c r="B24" s="329" t="s">
        <v>15</v>
      </c>
      <c r="C24" s="329" t="s">
        <v>16</v>
      </c>
      <c r="D24" s="329" t="s">
        <v>17</v>
      </c>
      <c r="E24" s="329" t="s">
        <v>18</v>
      </c>
      <c r="F24" s="329" t="s">
        <v>19</v>
      </c>
      <c r="G24" s="330" t="s">
        <v>20</v>
      </c>
    </row>
    <row r="25" spans="1:15" s="328" customFormat="1" ht="24.95" customHeight="1" x14ac:dyDescent="0.2">
      <c r="A25" s="354" t="s">
        <v>15</v>
      </c>
      <c r="B25" s="336">
        <f>'I. Datos de entrada'!C138</f>
        <v>0.90496956739048651</v>
      </c>
      <c r="C25" s="336">
        <f>'I. Datos de entrada'!D138</f>
        <v>0.33852175110819782</v>
      </c>
      <c r="D25" s="336">
        <f>'I. Datos de entrada'!E138</f>
        <v>0.58664686028604529</v>
      </c>
      <c r="E25" s="336">
        <f>'I. Datos de entrada'!F138</f>
        <v>0.52201433926564533</v>
      </c>
      <c r="F25" s="336">
        <f>'I. Datos de entrada'!G138</f>
        <v>0</v>
      </c>
      <c r="G25" s="337">
        <f>'I. Datos de entrada'!H138</f>
        <v>0</v>
      </c>
    </row>
    <row r="26" spans="1:15" s="328" customFormat="1" ht="24.95" customHeight="1" x14ac:dyDescent="0.2">
      <c r="A26" s="354" t="s">
        <v>16</v>
      </c>
      <c r="B26" s="338">
        <f>'I. Datos de entrada'!C139</f>
        <v>9.5030432609513618E-2</v>
      </c>
      <c r="C26" s="338">
        <f>'I. Datos de entrada'!D139</f>
        <v>0.66147824889180229</v>
      </c>
      <c r="D26" s="338">
        <f>'I. Datos de entrada'!E139</f>
        <v>0.41335313971395471</v>
      </c>
      <c r="E26" s="338">
        <f>'I. Datos de entrada'!F139</f>
        <v>0.47798566073435472</v>
      </c>
      <c r="F26" s="338">
        <f>'I. Datos de entrada'!G139</f>
        <v>1</v>
      </c>
      <c r="G26" s="337">
        <f>'I. Datos de entrada'!H139</f>
        <v>0</v>
      </c>
    </row>
    <row r="27" spans="1:15" s="328" customFormat="1" ht="24.95" customHeight="1" x14ac:dyDescent="0.2">
      <c r="A27" s="354" t="s">
        <v>17</v>
      </c>
      <c r="B27" s="338">
        <f>'I. Datos de entrada'!C140</f>
        <v>0</v>
      </c>
      <c r="C27" s="338">
        <f>'I. Datos de entrada'!D140</f>
        <v>0</v>
      </c>
      <c r="D27" s="338">
        <f>'I. Datos de entrada'!E140</f>
        <v>0</v>
      </c>
      <c r="E27" s="338">
        <f>'I. Datos de entrada'!F140</f>
        <v>0</v>
      </c>
      <c r="F27" s="338">
        <f>'I. Datos de entrada'!G140</f>
        <v>0</v>
      </c>
      <c r="G27" s="337">
        <f>'I. Datos de entrada'!H140</f>
        <v>1</v>
      </c>
    </row>
    <row r="28" spans="1:15" s="328" customFormat="1" ht="24.95" customHeight="1" thickBot="1" x14ac:dyDescent="0.25">
      <c r="A28" s="390" t="s">
        <v>4</v>
      </c>
      <c r="B28" s="394">
        <f>SUM(B25:B27)</f>
        <v>1.0000000000000002</v>
      </c>
      <c r="C28" s="394">
        <f t="shared" ref="C28:G28" si="2">SUM(C25:C27)</f>
        <v>1</v>
      </c>
      <c r="D28" s="394">
        <f t="shared" si="2"/>
        <v>1</v>
      </c>
      <c r="E28" s="394">
        <f t="shared" si="2"/>
        <v>1</v>
      </c>
      <c r="F28" s="394">
        <f t="shared" si="2"/>
        <v>1</v>
      </c>
      <c r="G28" s="395">
        <f t="shared" si="2"/>
        <v>1</v>
      </c>
    </row>
    <row r="29" spans="1:15" s="328" customFormat="1" ht="24.95" customHeight="1" x14ac:dyDescent="0.2">
      <c r="A29" s="358"/>
      <c r="B29" s="359"/>
      <c r="C29" s="359"/>
      <c r="D29" s="359"/>
      <c r="E29" s="359"/>
      <c r="F29" s="359"/>
      <c r="G29" s="359"/>
    </row>
    <row r="30" spans="1:15" ht="13.5" thickBot="1" x14ac:dyDescent="0.25">
      <c r="B30" s="339"/>
    </row>
    <row r="31" spans="1:15" ht="24.95" customHeight="1" x14ac:dyDescent="0.2">
      <c r="A31" s="617" t="s">
        <v>140</v>
      </c>
      <c r="B31" s="326" t="s">
        <v>141</v>
      </c>
      <c r="C31" s="326"/>
      <c r="D31" s="326"/>
      <c r="E31" s="326"/>
      <c r="F31" s="326"/>
      <c r="G31" s="327"/>
      <c r="I31" s="619" t="s">
        <v>145</v>
      </c>
    </row>
    <row r="32" spans="1:15" ht="24.95" customHeight="1" x14ac:dyDescent="0.2">
      <c r="A32" s="618"/>
      <c r="B32" s="329" t="s">
        <v>15</v>
      </c>
      <c r="C32" s="329" t="s">
        <v>16</v>
      </c>
      <c r="D32" s="329" t="s">
        <v>17</v>
      </c>
      <c r="E32" s="329" t="s">
        <v>18</v>
      </c>
      <c r="F32" s="329" t="s">
        <v>19</v>
      </c>
      <c r="G32" s="330" t="s">
        <v>20</v>
      </c>
      <c r="I32" s="620"/>
    </row>
    <row r="33" spans="1:9" s="328" customFormat="1" ht="24.95" customHeight="1" x14ac:dyDescent="0.2">
      <c r="A33" s="365" t="s">
        <v>2</v>
      </c>
      <c r="B33" s="340"/>
      <c r="C33" s="340"/>
      <c r="D33" s="340"/>
      <c r="E33" s="340"/>
      <c r="F33" s="340"/>
      <c r="G33" s="341"/>
      <c r="I33" s="360">
        <f>SUM(I34:I36)</f>
        <v>117645.71341315124</v>
      </c>
    </row>
    <row r="34" spans="1:9" s="328" customFormat="1" ht="24.95" customHeight="1" x14ac:dyDescent="0.2">
      <c r="A34" s="354" t="s">
        <v>15</v>
      </c>
      <c r="B34" s="343">
        <f>B$20*B25</f>
        <v>38207.566846949019</v>
      </c>
      <c r="C34" s="343">
        <f t="shared" ref="C34:G34" si="3">C$20*C25</f>
        <v>13931.737664985489</v>
      </c>
      <c r="D34" s="343">
        <f t="shared" si="3"/>
        <v>9782.0077554313848</v>
      </c>
      <c r="E34" s="343">
        <f t="shared" si="3"/>
        <v>6990.3506257355393</v>
      </c>
      <c r="F34" s="343">
        <f t="shared" si="3"/>
        <v>0</v>
      </c>
      <c r="G34" s="361">
        <f t="shared" si="3"/>
        <v>0</v>
      </c>
      <c r="I34" s="342">
        <f>SUM(B34:H34)</f>
        <v>68911.662893101427</v>
      </c>
    </row>
    <row r="35" spans="1:9" s="328" customFormat="1" ht="24.95" customHeight="1" x14ac:dyDescent="0.2">
      <c r="A35" s="354" t="s">
        <v>16</v>
      </c>
      <c r="B35" s="343">
        <f t="shared" ref="B35:G36" si="4">B$20*B26</f>
        <v>4012.1587921373507</v>
      </c>
      <c r="C35" s="343">
        <f t="shared" si="4"/>
        <v>27222.893076991997</v>
      </c>
      <c r="D35" s="343">
        <f t="shared" si="4"/>
        <v>6892.4320441129948</v>
      </c>
      <c r="E35" s="343">
        <f t="shared" si="4"/>
        <v>6400.7578169355238</v>
      </c>
      <c r="F35" s="343">
        <f t="shared" si="4"/>
        <v>433.98922250272727</v>
      </c>
      <c r="G35" s="361">
        <f t="shared" si="4"/>
        <v>0</v>
      </c>
      <c r="I35" s="342">
        <f t="shared" ref="I35:I36" si="5">SUM(B35:H35)</f>
        <v>44962.230952680598</v>
      </c>
    </row>
    <row r="36" spans="1:9" s="328" customFormat="1" ht="24.95" customHeight="1" x14ac:dyDescent="0.2">
      <c r="A36" s="354" t="s">
        <v>17</v>
      </c>
      <c r="B36" s="343">
        <f t="shared" si="4"/>
        <v>0</v>
      </c>
      <c r="C36" s="343">
        <f t="shared" si="4"/>
        <v>0</v>
      </c>
      <c r="D36" s="343">
        <f t="shared" si="4"/>
        <v>0</v>
      </c>
      <c r="E36" s="343">
        <f t="shared" si="4"/>
        <v>0</v>
      </c>
      <c r="F36" s="343">
        <f t="shared" si="4"/>
        <v>0</v>
      </c>
      <c r="G36" s="361">
        <f t="shared" si="4"/>
        <v>3771.819567369203</v>
      </c>
      <c r="I36" s="342">
        <f t="shared" si="5"/>
        <v>3771.819567369203</v>
      </c>
    </row>
    <row r="37" spans="1:9" s="328" customFormat="1" ht="24.95" customHeight="1" x14ac:dyDescent="0.2">
      <c r="A37" s="365" t="s">
        <v>147</v>
      </c>
      <c r="B37" s="343"/>
      <c r="C37" s="343"/>
      <c r="D37" s="343"/>
      <c r="E37" s="343"/>
      <c r="F37" s="343"/>
      <c r="G37" s="341"/>
      <c r="I37" s="360">
        <f>SUM(I38:I40)</f>
        <v>323372.37668027007</v>
      </c>
    </row>
    <row r="38" spans="1:9" s="328" customFormat="1" ht="24.95" customHeight="1" x14ac:dyDescent="0.2">
      <c r="A38" s="354" t="s">
        <v>15</v>
      </c>
      <c r="B38" s="343">
        <f>B$21*B25</f>
        <v>104697.06525900359</v>
      </c>
      <c r="C38" s="343">
        <f t="shared" ref="C38:G38" si="6">C$21*C25</f>
        <v>38448.873160372023</v>
      </c>
      <c r="D38" s="343">
        <f t="shared" si="6"/>
        <v>27792.905807671999</v>
      </c>
      <c r="E38" s="343">
        <f t="shared" si="6"/>
        <v>19836.476321693448</v>
      </c>
      <c r="F38" s="343">
        <f t="shared" si="6"/>
        <v>0</v>
      </c>
      <c r="G38" s="341">
        <f t="shared" si="6"/>
        <v>0</v>
      </c>
      <c r="I38" s="342">
        <f>SUM(B38:H38)</f>
        <v>190775.32054874109</v>
      </c>
    </row>
    <row r="39" spans="1:9" s="328" customFormat="1" ht="24.95" customHeight="1" x14ac:dyDescent="0.2">
      <c r="A39" s="354" t="s">
        <v>16</v>
      </c>
      <c r="B39" s="343">
        <f>B$21*B26</f>
        <v>10994.190040223206</v>
      </c>
      <c r="C39" s="343">
        <f t="shared" ref="C39:G40" si="7">C$21*C26</f>
        <v>75129.864496822294</v>
      </c>
      <c r="D39" s="343">
        <f t="shared" si="7"/>
        <v>19582.964906304642</v>
      </c>
      <c r="E39" s="343">
        <f t="shared" si="7"/>
        <v>18163.39232099332</v>
      </c>
      <c r="F39" s="343">
        <f t="shared" si="7"/>
        <v>900.48544600810533</v>
      </c>
      <c r="G39" s="341">
        <f t="shared" si="7"/>
        <v>0</v>
      </c>
      <c r="I39" s="342">
        <f t="shared" ref="I39:I40" si="8">SUM(B39:H39)</f>
        <v>124770.89721035158</v>
      </c>
    </row>
    <row r="40" spans="1:9" s="328" customFormat="1" ht="24.95" customHeight="1" thickBot="1" x14ac:dyDescent="0.25">
      <c r="A40" s="355" t="s">
        <v>17</v>
      </c>
      <c r="B40" s="344">
        <f>B$21*B27</f>
        <v>0</v>
      </c>
      <c r="C40" s="344">
        <f t="shared" si="7"/>
        <v>0</v>
      </c>
      <c r="D40" s="344">
        <f t="shared" si="7"/>
        <v>0</v>
      </c>
      <c r="E40" s="344">
        <f t="shared" si="7"/>
        <v>0</v>
      </c>
      <c r="F40" s="344">
        <f t="shared" si="7"/>
        <v>0</v>
      </c>
      <c r="G40" s="345">
        <f t="shared" si="7"/>
        <v>7826.1589211773835</v>
      </c>
      <c r="I40" s="346">
        <f t="shared" si="8"/>
        <v>7826.1589211773835</v>
      </c>
    </row>
    <row r="42" spans="1:9" ht="13.5" thickBot="1" x14ac:dyDescent="0.25"/>
    <row r="43" spans="1:9" ht="60" customHeight="1" x14ac:dyDescent="0.2">
      <c r="A43" s="495" t="s">
        <v>209</v>
      </c>
      <c r="B43" s="496" t="s">
        <v>206</v>
      </c>
    </row>
    <row r="44" spans="1:9" s="328" customFormat="1" ht="24.95" customHeight="1" x14ac:dyDescent="0.2">
      <c r="A44" s="501" t="s">
        <v>15</v>
      </c>
      <c r="B44" s="341">
        <f>'I. Datos de entrada'!$C$100*1000</f>
        <v>21197374.422607481</v>
      </c>
      <c r="C44" s="325"/>
      <c r="D44" s="325"/>
      <c r="E44" s="325"/>
      <c r="F44" s="325"/>
      <c r="G44" s="325"/>
    </row>
    <row r="45" spans="1:9" s="328" customFormat="1" ht="24.95" customHeight="1" x14ac:dyDescent="0.2">
      <c r="A45" s="501" t="s">
        <v>16</v>
      </c>
      <c r="B45" s="341">
        <f>'I. Datos de entrada'!$D$100*1000</f>
        <v>20112762.292705137</v>
      </c>
      <c r="C45" s="325"/>
      <c r="D45" s="325"/>
      <c r="E45" s="325"/>
      <c r="F45" s="325"/>
      <c r="G45" s="325"/>
    </row>
    <row r="46" spans="1:9" s="328" customFormat="1" ht="24.95" customHeight="1" thickBot="1" x14ac:dyDescent="0.25">
      <c r="A46" s="502" t="s">
        <v>17</v>
      </c>
      <c r="B46" s="345">
        <f>'I. Datos de entrada'!$E$100*1000</f>
        <v>36112261.362528592</v>
      </c>
      <c r="C46" s="325"/>
      <c r="D46" s="325"/>
      <c r="E46" s="325"/>
      <c r="F46" s="325"/>
      <c r="G46" s="325"/>
    </row>
    <row r="47" spans="1:9" ht="13.5" thickBot="1" x14ac:dyDescent="0.25"/>
    <row r="48" spans="1:9" ht="24.95" customHeight="1" x14ac:dyDescent="0.2">
      <c r="A48" s="617" t="s">
        <v>142</v>
      </c>
      <c r="B48" s="326" t="s">
        <v>161</v>
      </c>
      <c r="C48" s="326"/>
      <c r="D48" s="327"/>
    </row>
    <row r="49" spans="1:15" ht="24.95" customHeight="1" x14ac:dyDescent="0.2">
      <c r="A49" s="618"/>
      <c r="B49" s="329" t="s">
        <v>15</v>
      </c>
      <c r="C49" s="329" t="s">
        <v>16</v>
      </c>
      <c r="D49" s="330" t="s">
        <v>17</v>
      </c>
    </row>
    <row r="50" spans="1:15" ht="30" customHeight="1" x14ac:dyDescent="0.2">
      <c r="A50" s="364" t="s">
        <v>2</v>
      </c>
      <c r="B50" s="489">
        <f>I34/B44</f>
        <v>3.250952760432706E-3</v>
      </c>
      <c r="C50" s="489">
        <f>I35/B45</f>
        <v>2.2355075000805992E-3</v>
      </c>
      <c r="D50" s="490">
        <f>I36/B46</f>
        <v>1.0444706105508479E-4</v>
      </c>
      <c r="I50" s="335"/>
      <c r="J50" s="334"/>
      <c r="K50" s="334"/>
      <c r="L50" s="334"/>
      <c r="M50" s="334"/>
      <c r="N50" s="334"/>
      <c r="O50" s="328"/>
    </row>
    <row r="51" spans="1:15" ht="30" customHeight="1" x14ac:dyDescent="0.2">
      <c r="A51" s="364" t="s">
        <v>146</v>
      </c>
      <c r="B51" s="489">
        <f>I38/B44</f>
        <v>8.9999505007221491E-3</v>
      </c>
      <c r="C51" s="489">
        <f>I39/B45</f>
        <v>6.2035684305584305E-3</v>
      </c>
      <c r="D51" s="490">
        <f>I40/B46</f>
        <v>2.1671749776650911E-4</v>
      </c>
      <c r="I51" s="335"/>
      <c r="J51" s="334"/>
      <c r="K51" s="334"/>
      <c r="L51" s="334"/>
      <c r="M51" s="334"/>
      <c r="N51" s="334"/>
      <c r="O51" s="328"/>
    </row>
    <row r="52" spans="1:15" ht="30" customHeight="1" thickBot="1" x14ac:dyDescent="0.25">
      <c r="A52" s="390" t="s">
        <v>150</v>
      </c>
      <c r="B52" s="392">
        <f>SUM(B50:B51)</f>
        <v>1.2250903261154855E-2</v>
      </c>
      <c r="C52" s="392">
        <f t="shared" ref="C52:D52" si="9">SUM(C50:C51)</f>
        <v>8.4390759306390301E-3</v>
      </c>
      <c r="D52" s="393">
        <f t="shared" si="9"/>
        <v>3.211645588215939E-4</v>
      </c>
      <c r="I52" s="335"/>
      <c r="J52" s="334"/>
      <c r="K52" s="334"/>
      <c r="L52" s="334"/>
      <c r="M52" s="334"/>
      <c r="N52" s="334"/>
      <c r="O52" s="328"/>
    </row>
    <row r="53" spans="1:15" x14ac:dyDescent="0.2">
      <c r="A53" s="362"/>
      <c r="B53" s="363"/>
      <c r="C53" s="363"/>
      <c r="D53" s="363"/>
      <c r="I53" s="335"/>
      <c r="J53" s="334"/>
      <c r="K53" s="334"/>
      <c r="L53" s="334"/>
      <c r="M53" s="334"/>
      <c r="N53" s="334"/>
      <c r="O53" s="328"/>
    </row>
    <row r="55" spans="1:15" s="5" customFormat="1" ht="16.5" customHeight="1" x14ac:dyDescent="0.2">
      <c r="A55" s="5" t="s">
        <v>151</v>
      </c>
    </row>
    <row r="56" spans="1:15" ht="5.0999999999999996" customHeight="1" thickBot="1" x14ac:dyDescent="0.25"/>
    <row r="57" spans="1:15" ht="23.25" customHeight="1" x14ac:dyDescent="0.2">
      <c r="A57" s="617" t="s">
        <v>142</v>
      </c>
      <c r="B57" s="173" t="s">
        <v>154</v>
      </c>
      <c r="C57" s="173"/>
      <c r="D57" s="173"/>
      <c r="E57" s="613" t="s">
        <v>124</v>
      </c>
    </row>
    <row r="58" spans="1:15" ht="38.25" x14ac:dyDescent="0.2">
      <c r="A58" s="618"/>
      <c r="B58" s="253" t="s">
        <v>156</v>
      </c>
      <c r="C58" s="253" t="s">
        <v>157</v>
      </c>
      <c r="D58" s="253" t="s">
        <v>158</v>
      </c>
      <c r="E58" s="614"/>
    </row>
    <row r="59" spans="1:15" customFormat="1" ht="18" customHeight="1" x14ac:dyDescent="0.2">
      <c r="A59" s="366" t="s">
        <v>152</v>
      </c>
      <c r="B59" s="369">
        <f>'Va. Peajes transporte'!B90</f>
        <v>493547.07246730325</v>
      </c>
      <c r="C59" s="369">
        <f>'Va. Peajes transporte'!C90</f>
        <v>117645.71341315123</v>
      </c>
      <c r="D59" s="369">
        <f>SUM(B59:C59)</f>
        <v>611192.78588045447</v>
      </c>
      <c r="E59" s="370">
        <f t="shared" ref="E59" si="10">B59/D59</f>
        <v>0.80751455820330642</v>
      </c>
      <c r="F59" s="252"/>
      <c r="G59" s="252"/>
      <c r="I59" s="252"/>
    </row>
    <row r="60" spans="1:15" customFormat="1" ht="18" customHeight="1" x14ac:dyDescent="0.2">
      <c r="A60" s="377" t="s">
        <v>153</v>
      </c>
      <c r="B60" s="481">
        <f>'Vb. Peajes distribución'!B90</f>
        <v>3063438.4726811238</v>
      </c>
      <c r="C60" s="481">
        <f>'Vb. Peajes distribución'!C90</f>
        <v>323372.37668027001</v>
      </c>
      <c r="D60" s="481">
        <f>SUM(B60:C60)</f>
        <v>3386810.8493613936</v>
      </c>
      <c r="E60" s="504">
        <f>B60/D60</f>
        <v>0.90452009543395551</v>
      </c>
      <c r="F60" s="252"/>
      <c r="G60" s="252"/>
      <c r="I60" s="252"/>
    </row>
    <row r="61" spans="1:15" customFormat="1" ht="21.6" customHeight="1" thickBot="1" x14ac:dyDescent="0.25">
      <c r="A61" s="491" t="s">
        <v>4</v>
      </c>
      <c r="B61" s="503">
        <f>SUM(B59:B60)</f>
        <v>3556985.5451484271</v>
      </c>
      <c r="C61" s="503">
        <f t="shared" ref="C61:D61" si="11">SUM(C59:C60)</f>
        <v>441018.09009342123</v>
      </c>
      <c r="D61" s="503">
        <f t="shared" si="11"/>
        <v>3998003.635241848</v>
      </c>
      <c r="E61" s="505">
        <f>B61/D61</f>
        <v>0.88969042293861178</v>
      </c>
      <c r="F61" s="252"/>
      <c r="G61" s="252"/>
    </row>
    <row r="62" spans="1:15" ht="13.5" thickBot="1" x14ac:dyDescent="0.25"/>
    <row r="63" spans="1:15" ht="23.25" customHeight="1" x14ac:dyDescent="0.2">
      <c r="A63" s="617" t="s">
        <v>142</v>
      </c>
      <c r="B63" s="173" t="s">
        <v>155</v>
      </c>
      <c r="C63" s="174"/>
    </row>
    <row r="64" spans="1:15" ht="38.25" x14ac:dyDescent="0.2">
      <c r="A64" s="618"/>
      <c r="B64" s="253" t="s">
        <v>159</v>
      </c>
      <c r="C64" s="324" t="s">
        <v>160</v>
      </c>
    </row>
    <row r="65" spans="1:18" s="1" customFormat="1" ht="21" customHeight="1" x14ac:dyDescent="0.2">
      <c r="A65" s="366" t="s">
        <v>152</v>
      </c>
      <c r="B65" s="485">
        <f>D59*75%/B59</f>
        <v>0.92877582500645639</v>
      </c>
      <c r="C65" s="486">
        <f>D59*25%/C59</f>
        <v>1.2987995230520044</v>
      </c>
      <c r="D65" s="328"/>
      <c r="E65" s="328"/>
      <c r="F65" s="506"/>
      <c r="G65" s="506"/>
      <c r="I65" s="506"/>
    </row>
    <row r="66" spans="1:18" s="1" customFormat="1" ht="21" customHeight="1" thickBot="1" x14ac:dyDescent="0.25">
      <c r="A66" s="367" t="s">
        <v>153</v>
      </c>
      <c r="B66" s="487">
        <f>D60*75%/B60</f>
        <v>0.82916897456012573</v>
      </c>
      <c r="C66" s="488">
        <f>D60*25%/C60</f>
        <v>2.6183520096322699</v>
      </c>
      <c r="D66" s="328"/>
      <c r="E66" s="328"/>
      <c r="F66" s="506"/>
      <c r="G66" s="506"/>
      <c r="I66" s="506"/>
    </row>
    <row r="67" spans="1:18" ht="13.5" thickBot="1" x14ac:dyDescent="0.25"/>
    <row r="68" spans="1:18" ht="24.95" customHeight="1" x14ac:dyDescent="0.2">
      <c r="A68" s="617" t="s">
        <v>142</v>
      </c>
      <c r="B68" s="173" t="s">
        <v>122</v>
      </c>
      <c r="C68" s="173"/>
      <c r="D68" s="326" t="s">
        <v>161</v>
      </c>
      <c r="E68" s="326"/>
      <c r="F68" s="327"/>
    </row>
    <row r="69" spans="1:18" ht="24.95" customHeight="1" x14ac:dyDescent="0.2">
      <c r="A69" s="618"/>
      <c r="B69" s="175" t="s">
        <v>15</v>
      </c>
      <c r="C69" s="175" t="s">
        <v>16</v>
      </c>
      <c r="D69" s="329" t="s">
        <v>15</v>
      </c>
      <c r="E69" s="329" t="s">
        <v>16</v>
      </c>
      <c r="F69" s="330" t="s">
        <v>17</v>
      </c>
    </row>
    <row r="70" spans="1:18" ht="30" customHeight="1" x14ac:dyDescent="0.2">
      <c r="A70" s="364" t="s">
        <v>2</v>
      </c>
      <c r="B70" s="368">
        <f>'Va. Peajes transporte'!B79*$B$65</f>
        <v>3.5870796533782787</v>
      </c>
      <c r="C70" s="368">
        <f>'Va. Peajes transporte'!C79*$B$65</f>
        <v>7.3398445775890636E-2</v>
      </c>
      <c r="D70" s="508">
        <f>B50*$C$65</f>
        <v>4.2223358947145956E-3</v>
      </c>
      <c r="E70" s="508">
        <f>C50*$C$65</f>
        <v>2.9034760748838612E-3</v>
      </c>
      <c r="F70" s="509">
        <f>D50*$C$65</f>
        <v>1.356557930825277E-4</v>
      </c>
      <c r="L70" s="335"/>
      <c r="M70" s="334"/>
      <c r="N70" s="334"/>
      <c r="O70" s="334"/>
      <c r="P70" s="334"/>
      <c r="Q70" s="334"/>
      <c r="R70" s="328"/>
    </row>
    <row r="71" spans="1:18" ht="30" customHeight="1" x14ac:dyDescent="0.2">
      <c r="A71" s="364" t="s">
        <v>146</v>
      </c>
      <c r="B71" s="368">
        <f>'Vb. Peajes distribución'!B79*$B$66</f>
        <v>19.401176126435018</v>
      </c>
      <c r="C71" s="368">
        <f>'Vb. Peajes distribución'!C79*$B$66</f>
        <v>0.86549167908384861</v>
      </c>
      <c r="D71" s="508">
        <f>B51*$C$66</f>
        <v>2.3565038480156793E-2</v>
      </c>
      <c r="E71" s="508">
        <f>C51*$C$66</f>
        <v>1.6243125867043972E-2</v>
      </c>
      <c r="F71" s="509">
        <f>D51*$C$66</f>
        <v>5.6744269579941606E-4</v>
      </c>
      <c r="L71" s="335"/>
      <c r="M71" s="334"/>
      <c r="N71" s="334"/>
      <c r="O71" s="334"/>
      <c r="P71" s="334"/>
      <c r="Q71" s="334"/>
      <c r="R71" s="328"/>
    </row>
    <row r="72" spans="1:18" ht="30" customHeight="1" thickBot="1" x14ac:dyDescent="0.25">
      <c r="A72" s="390" t="s">
        <v>150</v>
      </c>
      <c r="B72" s="391">
        <f>SUM(B70:B71)</f>
        <v>22.988255779813297</v>
      </c>
      <c r="C72" s="391">
        <f>SUM(C70:C71)</f>
        <v>0.93889012485973922</v>
      </c>
      <c r="D72" s="510">
        <f>SUM(D70:D71)</f>
        <v>2.7787374374871388E-2</v>
      </c>
      <c r="E72" s="510">
        <f t="shared" ref="E72" si="12">SUM(E70:E71)</f>
        <v>1.9146601941927834E-2</v>
      </c>
      <c r="F72" s="511">
        <f t="shared" ref="F72" si="13">SUM(F70:F71)</f>
        <v>7.030984888819437E-4</v>
      </c>
      <c r="L72" s="335"/>
      <c r="M72" s="334"/>
      <c r="N72" s="334"/>
      <c r="O72" s="334"/>
      <c r="P72" s="334"/>
      <c r="Q72" s="334"/>
      <c r="R72" s="328"/>
    </row>
    <row r="73" spans="1:18" ht="13.5" thickBot="1" x14ac:dyDescent="0.25"/>
    <row r="74" spans="1:18" ht="22.5" customHeight="1" x14ac:dyDescent="0.2">
      <c r="A74" s="617" t="s">
        <v>142</v>
      </c>
      <c r="B74" s="173" t="s">
        <v>154</v>
      </c>
      <c r="C74" s="173"/>
      <c r="D74" s="173"/>
      <c r="E74" s="613" t="s">
        <v>124</v>
      </c>
    </row>
    <row r="75" spans="1:18" ht="25.5" x14ac:dyDescent="0.2">
      <c r="A75" s="618"/>
      <c r="B75" s="253" t="s">
        <v>95</v>
      </c>
      <c r="C75" s="253" t="s">
        <v>96</v>
      </c>
      <c r="D75" s="253" t="s">
        <v>4</v>
      </c>
      <c r="E75" s="614"/>
    </row>
    <row r="76" spans="1:18" s="328" customFormat="1" ht="24.95" customHeight="1" x14ac:dyDescent="0.2">
      <c r="A76" s="366" t="s">
        <v>152</v>
      </c>
      <c r="B76" s="369">
        <f>B70*'I. Datos de entrada'!$C$115+C70*'I. Datos de entrada'!$H$115</f>
        <v>458394.58941034094</v>
      </c>
      <c r="C76" s="369">
        <f>$B$44*D70+$B$45*E70+$B$46*F70</f>
        <v>152798.19647011362</v>
      </c>
      <c r="D76" s="369">
        <f>SUM(B76:C76)</f>
        <v>611192.78588045458</v>
      </c>
      <c r="E76" s="370">
        <f t="shared" ref="E76" si="14">B76/D76</f>
        <v>0.75</v>
      </c>
    </row>
    <row r="77" spans="1:18" s="328" customFormat="1" ht="24.95" customHeight="1" x14ac:dyDescent="0.2">
      <c r="A77" s="366" t="s">
        <v>153</v>
      </c>
      <c r="B77" s="369">
        <f>B71*'I. Datos de entrada'!$C$115+C71*'I. Datos de entrada'!$H$115</f>
        <v>2540108.1370210447</v>
      </c>
      <c r="C77" s="369">
        <f>$B$44*D71+$B$45*E71+$B$46*F71</f>
        <v>846702.71234034852</v>
      </c>
      <c r="D77" s="369">
        <f>SUM(B77:C77)</f>
        <v>3386810.8493613931</v>
      </c>
      <c r="E77" s="370">
        <f>B77/D77</f>
        <v>0.75</v>
      </c>
    </row>
    <row r="78" spans="1:18" s="328" customFormat="1" ht="24.95" customHeight="1" thickBot="1" x14ac:dyDescent="0.25">
      <c r="A78" s="405" t="s">
        <v>4</v>
      </c>
      <c r="B78" s="406">
        <f>SUM(B76:B77)</f>
        <v>2998502.7264313856</v>
      </c>
      <c r="C78" s="406">
        <f t="shared" ref="C78" si="15">SUM(C76:C77)</f>
        <v>999500.9088104621</v>
      </c>
      <c r="D78" s="406">
        <f t="shared" ref="D78" si="16">SUM(D76:D77)</f>
        <v>3998003.6352418475</v>
      </c>
      <c r="E78" s="407">
        <f>B78/D78</f>
        <v>0.75</v>
      </c>
    </row>
    <row r="79" spans="1:18" x14ac:dyDescent="0.2">
      <c r="D79" s="442">
        <f>D78-SUM('Va. Peajes transporte'!D90,'Vb. Peajes distribución'!D90)</f>
        <v>0</v>
      </c>
    </row>
  </sheetData>
  <mergeCells count="14">
    <mergeCell ref="I18:I19"/>
    <mergeCell ref="E57:E58"/>
    <mergeCell ref="A57:A58"/>
    <mergeCell ref="I31:I32"/>
    <mergeCell ref="A9:A10"/>
    <mergeCell ref="A13:A14"/>
    <mergeCell ref="A18:A19"/>
    <mergeCell ref="A23:A24"/>
    <mergeCell ref="A31:A32"/>
    <mergeCell ref="A63:A64"/>
    <mergeCell ref="A68:A69"/>
    <mergeCell ref="A74:A75"/>
    <mergeCell ref="E74:E75"/>
    <mergeCell ref="A48:A4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I. Datos de entrada</vt:lpstr>
      <vt:lpstr>IIa. Balances de Potencia</vt:lpstr>
      <vt:lpstr>IIb. Balances de energía</vt:lpstr>
      <vt:lpstr>IIIa. Coeficientes Potencia</vt:lpstr>
      <vt:lpstr>IIIb. Coeficientes Energía</vt:lpstr>
      <vt:lpstr>IV. Metodología de asignación</vt:lpstr>
      <vt:lpstr>Va. Peajes transporte</vt:lpstr>
      <vt:lpstr>Vb. Peajes distribución</vt:lpstr>
      <vt:lpstr>VI. Diseño del Peaje 2.0 TD</vt:lpstr>
      <vt:lpstr>VII. Peajes T&amp;D</vt:lpstr>
      <vt:lpstr>VIII. Pagos autoconsumo próximo</vt:lpstr>
      <vt:lpstr>IX. Peajes VE</vt:lpstr>
      <vt:lpstr>'IIb. Balances de energía'!Área_de_impresión</vt:lpstr>
    </vt:vector>
  </TitlesOfParts>
  <Manager/>
  <Company/>
  <LinksUpToDate>false</LinksUpToDate>
  <SharedDoc>false</SharedDoc>
  <HyperlinkBase>www.cnmc.es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Metodología de Asignación T &amp; D</dc:title>
  <dc:creator/>
  <cp:keywords>Año 2022</cp:keywords>
  <cp:lastModifiedBy/>
  <dcterms:created xsi:type="dcterms:W3CDTF">2019-11-27T14:11:12Z</dcterms:created>
  <dcterms:modified xsi:type="dcterms:W3CDTF">2021-11-18T08:18:32Z</dcterms:modified>
</cp:coreProperties>
</file>